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F:\LILIANAMARC\USB LILIANA\VIG 2024\1. PLANES\PAAC 2024\"/>
    </mc:Choice>
  </mc:AlternateContent>
  <xr:revisionPtr revIDLastSave="0" documentId="13_ncr:1_{F54CE1E4-5A09-41E0-AE5F-BA09B9942556}" xr6:coauthVersionLast="47" xr6:coauthVersionMax="47" xr10:uidLastSave="{00000000-0000-0000-0000-000000000000}"/>
  <bookViews>
    <workbookView xWindow="-120" yWindow="-120" windowWidth="29040" windowHeight="15840" tabRatio="629" firstSheet="1" activeTab="1" xr2:uid="{00000000-000D-0000-FFFF-FFFF00000000}"/>
  </bookViews>
  <sheets>
    <sheet name="Instructivo " sheetId="21" state="hidden"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externalReferences>
    <externalReference r:id="rId11"/>
    <externalReference r:id="rId12"/>
  </externalReferences>
  <definedNames>
    <definedName name="_xlnm._FilterDatabase" localSheetId="1" hidden="1">'Mapa de Riesgos'!$A$10:$BR$83</definedName>
  </definedNames>
  <calcPr calcId="181029"/>
  <pivotCaches>
    <pivotCache cacheId="1"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9" i="1" l="1"/>
  <c r="AB59" i="1" s="1"/>
  <c r="Y59" i="1"/>
  <c r="Z59" i="1" s="1"/>
  <c r="AD59" i="1" s="1"/>
  <c r="U59" i="1"/>
  <c r="AC17" i="1"/>
  <c r="AB17" i="1" s="1"/>
  <c r="U17" i="1"/>
  <c r="Y17" i="1" s="1"/>
  <c r="U56" i="1"/>
  <c r="R56" i="1"/>
  <c r="AC56" i="1" s="1"/>
  <c r="AB56" i="1" s="1"/>
  <c r="R12" i="1"/>
  <c r="AC12" i="1" s="1"/>
  <c r="AB12" i="1" s="1"/>
  <c r="AC23" i="1"/>
  <c r="AB23" i="1" s="1"/>
  <c r="U23" i="1"/>
  <c r="Y23" i="1" s="1"/>
  <c r="L22" i="1"/>
  <c r="L21" i="1"/>
  <c r="L20" i="1"/>
  <c r="L19" i="1"/>
  <c r="L18" i="1"/>
  <c r="L17" i="1"/>
  <c r="M17" i="1" s="1"/>
  <c r="L28" i="1"/>
  <c r="L27" i="1"/>
  <c r="L26" i="1"/>
  <c r="L25" i="1"/>
  <c r="L24" i="1"/>
  <c r="L23" i="1"/>
  <c r="M23" i="1" s="1"/>
  <c r="U82" i="1"/>
  <c r="R82" i="1"/>
  <c r="L82" i="1"/>
  <c r="U81" i="1"/>
  <c r="R81" i="1"/>
  <c r="L81" i="1"/>
  <c r="U80" i="1"/>
  <c r="R80" i="1"/>
  <c r="L80" i="1"/>
  <c r="U79" i="1"/>
  <c r="R79" i="1"/>
  <c r="L79" i="1"/>
  <c r="U78" i="1"/>
  <c r="R78" i="1"/>
  <c r="L78" i="1"/>
  <c r="AC77" i="1"/>
  <c r="AB77" i="1" s="1"/>
  <c r="Y77" i="1"/>
  <c r="AA77" i="1" s="1"/>
  <c r="U77" i="1"/>
  <c r="I77" i="1"/>
  <c r="J77" i="1" s="1"/>
  <c r="U76" i="1"/>
  <c r="R76" i="1"/>
  <c r="L76" i="1"/>
  <c r="U75" i="1"/>
  <c r="R75" i="1"/>
  <c r="L75" i="1"/>
  <c r="U74" i="1"/>
  <c r="R74" i="1"/>
  <c r="L74" i="1"/>
  <c r="U73" i="1"/>
  <c r="R73" i="1"/>
  <c r="L73" i="1"/>
  <c r="U72" i="1"/>
  <c r="R72" i="1"/>
  <c r="L72" i="1"/>
  <c r="I71" i="1"/>
  <c r="J71" i="1" s="1"/>
  <c r="AA59" i="1" l="1"/>
  <c r="Y73" i="1"/>
  <c r="AA73" i="1" s="1"/>
  <c r="Z17" i="1"/>
  <c r="AD17" i="1" s="1"/>
  <c r="AA17" i="1"/>
  <c r="AC76" i="1"/>
  <c r="AB76" i="1" s="1"/>
  <c r="Y56" i="1"/>
  <c r="AC75" i="1"/>
  <c r="AB75" i="1" s="1"/>
  <c r="Y76" i="1"/>
  <c r="AA76" i="1" s="1"/>
  <c r="AC80" i="1"/>
  <c r="AB80" i="1" s="1"/>
  <c r="AC82" i="1"/>
  <c r="AB82" i="1" s="1"/>
  <c r="Y12" i="1"/>
  <c r="Y80" i="1"/>
  <c r="AA80" i="1" s="1"/>
  <c r="AC74" i="1"/>
  <c r="AB74" i="1" s="1"/>
  <c r="AC73" i="1"/>
  <c r="AB73" i="1" s="1"/>
  <c r="AC79" i="1"/>
  <c r="AB79" i="1" s="1"/>
  <c r="Y72" i="1"/>
  <c r="Z72" i="1" s="1"/>
  <c r="AC72" i="1"/>
  <c r="AB72" i="1" s="1"/>
  <c r="AC81" i="1"/>
  <c r="AB81" i="1" s="1"/>
  <c r="Z23" i="1"/>
  <c r="AD23" i="1" s="1"/>
  <c r="AA23" i="1"/>
  <c r="N17" i="1"/>
  <c r="N23" i="1"/>
  <c r="Y81" i="1"/>
  <c r="Z76" i="1"/>
  <c r="Y74" i="1"/>
  <c r="Z77" i="1"/>
  <c r="AD77" i="1" s="1"/>
  <c r="Y78" i="1"/>
  <c r="AC78" i="1"/>
  <c r="AB78" i="1" s="1"/>
  <c r="Y82" i="1"/>
  <c r="Y75" i="1"/>
  <c r="Y79" i="1"/>
  <c r="Z80" i="1" l="1"/>
  <c r="AD80" i="1" s="1"/>
  <c r="Z73" i="1"/>
  <c r="AD73" i="1" s="1"/>
  <c r="AD76" i="1"/>
  <c r="AA72" i="1"/>
  <c r="Z56" i="1"/>
  <c r="AD56" i="1" s="1"/>
  <c r="AA56" i="1"/>
  <c r="Z12" i="1"/>
  <c r="AD12" i="1" s="1"/>
  <c r="AA12" i="1"/>
  <c r="AD72" i="1"/>
  <c r="Z79" i="1"/>
  <c r="AD79" i="1" s="1"/>
  <c r="AA79" i="1"/>
  <c r="Z78" i="1"/>
  <c r="AD78" i="1" s="1"/>
  <c r="AA78" i="1"/>
  <c r="AA75" i="1"/>
  <c r="Z75" i="1"/>
  <c r="AD75" i="1" s="1"/>
  <c r="Z82" i="1"/>
  <c r="AD82" i="1" s="1"/>
  <c r="AA82" i="1"/>
  <c r="Z74" i="1"/>
  <c r="AD74" i="1" s="1"/>
  <c r="AA74" i="1"/>
  <c r="AA81" i="1"/>
  <c r="Z81" i="1"/>
  <c r="AD81" i="1" s="1"/>
  <c r="U55" i="1" l="1"/>
  <c r="U54" i="1" l="1"/>
  <c r="R54" i="1"/>
  <c r="U53" i="1"/>
  <c r="R53" i="1"/>
  <c r="L58" i="1"/>
  <c r="L57" i="1"/>
  <c r="L56" i="1"/>
  <c r="L55" i="1"/>
  <c r="L54" i="1"/>
  <c r="L53" i="1"/>
  <c r="M53" i="1" s="1"/>
  <c r="Y55" i="1" l="1"/>
  <c r="N53" i="1"/>
  <c r="AC53" i="1" s="1"/>
  <c r="AB53" i="1" s="1"/>
  <c r="AA55" i="1" l="1"/>
  <c r="Z55" i="1"/>
  <c r="AC54" i="1"/>
  <c r="AB54" i="1" l="1"/>
  <c r="AC55" i="1"/>
  <c r="AB55" i="1" s="1"/>
  <c r="AD55" i="1" s="1"/>
  <c r="Z13" i="1" l="1"/>
  <c r="Z14" i="1"/>
  <c r="U47" i="1"/>
  <c r="R47" i="1"/>
  <c r="U41" i="1"/>
  <c r="R41" i="1"/>
  <c r="L52" i="1"/>
  <c r="L51" i="1"/>
  <c r="L50" i="1"/>
  <c r="L49" i="1"/>
  <c r="L48" i="1"/>
  <c r="I47" i="1"/>
  <c r="J47" i="1" l="1"/>
  <c r="Y47" i="1" s="1"/>
  <c r="Z47" i="1" l="1"/>
  <c r="AA47" i="1"/>
  <c r="L40" i="1" l="1"/>
  <c r="L39" i="1"/>
  <c r="L38" i="1"/>
  <c r="L37" i="1"/>
  <c r="L36" i="1"/>
  <c r="U35" i="1"/>
  <c r="R35" i="1"/>
  <c r="Y36" i="1" s="1"/>
  <c r="L35" i="1"/>
  <c r="M35" i="1" s="1"/>
  <c r="N35" i="1" s="1"/>
  <c r="I35" i="1"/>
  <c r="U46" i="1"/>
  <c r="R46" i="1"/>
  <c r="L46" i="1"/>
  <c r="U45" i="1"/>
  <c r="R45" i="1"/>
  <c r="L45" i="1"/>
  <c r="U44" i="1"/>
  <c r="R44" i="1"/>
  <c r="L44" i="1"/>
  <c r="U43" i="1"/>
  <c r="R43" i="1"/>
  <c r="L43" i="1"/>
  <c r="U42" i="1"/>
  <c r="R42" i="1"/>
  <c r="AC42" i="1" s="1"/>
  <c r="AB42" i="1" s="1"/>
  <c r="L42" i="1"/>
  <c r="I41" i="1"/>
  <c r="J41" i="1" s="1"/>
  <c r="Y41" i="1" s="1"/>
  <c r="Z41" i="1" l="1"/>
  <c r="AA41" i="1"/>
  <c r="Y42" i="1"/>
  <c r="Z42" i="1" s="1"/>
  <c r="AD42" i="1" s="1"/>
  <c r="AC46" i="1"/>
  <c r="AB46" i="1" s="1"/>
  <c r="AC43" i="1"/>
  <c r="AB43" i="1" s="1"/>
  <c r="AC45" i="1"/>
  <c r="AB45" i="1" s="1"/>
  <c r="O35" i="1"/>
  <c r="AC35" i="1"/>
  <c r="AB35" i="1" s="1"/>
  <c r="J35" i="1"/>
  <c r="Y35" i="1" s="1"/>
  <c r="Y39" i="1"/>
  <c r="Y40" i="1"/>
  <c r="Y44" i="1"/>
  <c r="AC44" i="1"/>
  <c r="AB44" i="1" s="1"/>
  <c r="Y45" i="1"/>
  <c r="Y46" i="1"/>
  <c r="Y43" i="1"/>
  <c r="AA42" i="1" l="1"/>
  <c r="AA35" i="1"/>
  <c r="Z35" i="1"/>
  <c r="AD35" i="1" s="1"/>
  <c r="AA43" i="1"/>
  <c r="Z43" i="1"/>
  <c r="AD43" i="1" s="1"/>
  <c r="Z46" i="1"/>
  <c r="AD46" i="1" s="1"/>
  <c r="AA46" i="1"/>
  <c r="AA45" i="1"/>
  <c r="Z45" i="1"/>
  <c r="AD45" i="1" s="1"/>
  <c r="AA44" i="1"/>
  <c r="Z44" i="1"/>
  <c r="AD44" i="1" s="1"/>
  <c r="U29" i="1" l="1"/>
  <c r="R29" i="1"/>
  <c r="R11" i="1" l="1"/>
  <c r="I59" i="1" l="1"/>
  <c r="J59" i="1" s="1"/>
  <c r="U65" i="1"/>
  <c r="L60" i="1"/>
  <c r="R60" i="1"/>
  <c r="U60" i="1"/>
  <c r="L61" i="1"/>
  <c r="R61" i="1"/>
  <c r="U61" i="1"/>
  <c r="L62" i="1"/>
  <c r="R62" i="1"/>
  <c r="U62" i="1"/>
  <c r="L63" i="1"/>
  <c r="R63" i="1"/>
  <c r="U63" i="1"/>
  <c r="L64" i="1"/>
  <c r="R64" i="1"/>
  <c r="U64" i="1"/>
  <c r="I65" i="1"/>
  <c r="J65" i="1" s="1"/>
  <c r="L66" i="1"/>
  <c r="R66" i="1"/>
  <c r="U66" i="1"/>
  <c r="L67" i="1"/>
  <c r="R67" i="1"/>
  <c r="U67" i="1"/>
  <c r="L68" i="1"/>
  <c r="R68" i="1"/>
  <c r="U68" i="1"/>
  <c r="L69" i="1"/>
  <c r="R69" i="1"/>
  <c r="U69" i="1"/>
  <c r="L70" i="1"/>
  <c r="R70" i="1"/>
  <c r="U70" i="1"/>
  <c r="AC63" i="1" l="1"/>
  <c r="AB63" i="1" s="1"/>
  <c r="Y67" i="1"/>
  <c r="Z67" i="1" s="1"/>
  <c r="AC62" i="1"/>
  <c r="AB62" i="1" s="1"/>
  <c r="AC66" i="1"/>
  <c r="AB66" i="1" s="1"/>
  <c r="AC65" i="1"/>
  <c r="AB65" i="1" s="1"/>
  <c r="Y65" i="1"/>
  <c r="AA65" i="1" s="1"/>
  <c r="Y61" i="1"/>
  <c r="AA61" i="1" s="1"/>
  <c r="Y70" i="1"/>
  <c r="AA70" i="1" s="1"/>
  <c r="Y66" i="1"/>
  <c r="AA66" i="1" s="1"/>
  <c r="Y64" i="1"/>
  <c r="Z64" i="1" s="1"/>
  <c r="Y62" i="1"/>
  <c r="AA62" i="1" s="1"/>
  <c r="Y69" i="1"/>
  <c r="Z69" i="1" s="1"/>
  <c r="AC67" i="1"/>
  <c r="AB67" i="1" s="1"/>
  <c r="Y63" i="1"/>
  <c r="Z63" i="1" s="1"/>
  <c r="Y68" i="1"/>
  <c r="AA68" i="1" s="1"/>
  <c r="AC69" i="1"/>
  <c r="AB69" i="1" s="1"/>
  <c r="AC61" i="1"/>
  <c r="AB61" i="1" s="1"/>
  <c r="AC70" i="1"/>
  <c r="AB70" i="1" s="1"/>
  <c r="AC68" i="1"/>
  <c r="AB68" i="1" s="1"/>
  <c r="AC60" i="1"/>
  <c r="AB60" i="1" s="1"/>
  <c r="AC64" i="1"/>
  <c r="AB64" i="1" s="1"/>
  <c r="Y60" i="1"/>
  <c r="AA67" i="1" l="1"/>
  <c r="AD64" i="1"/>
  <c r="AD67" i="1"/>
  <c r="Z62" i="1"/>
  <c r="AD62" i="1" s="1"/>
  <c r="AD63" i="1"/>
  <c r="Z61" i="1"/>
  <c r="AD61" i="1" s="1"/>
  <c r="AA64" i="1"/>
  <c r="Z68" i="1"/>
  <c r="AD68" i="1" s="1"/>
  <c r="Z65" i="1"/>
  <c r="AD65" i="1" s="1"/>
  <c r="Z70" i="1"/>
  <c r="AD70" i="1" s="1"/>
  <c r="Z66" i="1"/>
  <c r="AD66" i="1" s="1"/>
  <c r="AA63" i="1"/>
  <c r="AA69" i="1"/>
  <c r="AD69" i="1"/>
  <c r="Z60" i="1"/>
  <c r="AD60" i="1" s="1"/>
  <c r="AA60" i="1"/>
  <c r="U11" i="1" l="1"/>
  <c r="I11" i="1" l="1"/>
  <c r="J11" i="1" s="1"/>
  <c r="L30" i="1"/>
  <c r="L34" i="1"/>
  <c r="L32" i="1"/>
  <c r="L31" i="1"/>
  <c r="L33" i="1"/>
  <c r="G225" i="13" l="1"/>
  <c r="G215" i="13"/>
  <c r="G216" i="13"/>
  <c r="G217" i="13"/>
  <c r="G218" i="13"/>
  <c r="G219" i="13"/>
  <c r="G220" i="13"/>
  <c r="G221" i="13"/>
  <c r="G222" i="13"/>
  <c r="G223" i="13"/>
  <c r="G224" i="13"/>
  <c r="G214" i="13"/>
  <c r="L16" i="1"/>
  <c r="L15" i="1"/>
  <c r="L12" i="1"/>
  <c r="L13" i="1"/>
  <c r="B225" i="13" a="1"/>
  <c r="L14" i="1"/>
  <c r="B225" i="13" l="1"/>
  <c r="L77" i="1" l="1"/>
  <c r="M77" i="1" s="1"/>
  <c r="L71" i="1"/>
  <c r="M71" i="1" s="1"/>
  <c r="L47" i="1"/>
  <c r="M47" i="1" s="1"/>
  <c r="L41" i="1"/>
  <c r="M41"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N77" i="1" l="1"/>
  <c r="O77" i="1"/>
  <c r="O41" i="1"/>
  <c r="N41" i="1"/>
  <c r="AC41" i="1" s="1"/>
  <c r="AB41" i="1" s="1"/>
  <c r="AD41" i="1" s="1"/>
  <c r="N47" i="1"/>
  <c r="AC47" i="1" s="1"/>
  <c r="AB47" i="1" s="1"/>
  <c r="AD47" i="1" s="1"/>
  <c r="O47" i="1"/>
  <c r="N71" i="1"/>
  <c r="O71" i="1"/>
  <c r="I17" i="1"/>
  <c r="I23" i="1"/>
  <c r="I53" i="1"/>
  <c r="I29" i="1"/>
  <c r="R16" i="1"/>
  <c r="R15" i="1"/>
  <c r="U34" i="1"/>
  <c r="R34" i="1"/>
  <c r="U33" i="1"/>
  <c r="R33" i="1"/>
  <c r="U32" i="1"/>
  <c r="R32" i="1"/>
  <c r="U31" i="1"/>
  <c r="R31" i="1"/>
  <c r="U30" i="1"/>
  <c r="R30" i="1"/>
  <c r="J17" i="1" l="1"/>
  <c r="O17" i="1"/>
  <c r="J23" i="1"/>
  <c r="O23" i="1"/>
  <c r="J53" i="1"/>
  <c r="Y53" i="1" s="1"/>
  <c r="O53" i="1"/>
  <c r="J29" i="1"/>
  <c r="Y29" i="1" s="1"/>
  <c r="AA53" i="1" l="1"/>
  <c r="Y54" i="1" s="1"/>
  <c r="Z53" i="1"/>
  <c r="AD53" i="1" s="1"/>
  <c r="Z29" i="1"/>
  <c r="AA29" i="1"/>
  <c r="Y30" i="1"/>
  <c r="AA54" i="1" l="1"/>
  <c r="Z54" i="1"/>
  <c r="AD54"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U15" i="1"/>
  <c r="U16" i="1"/>
  <c r="Z30" i="1" l="1"/>
  <c r="AA30" i="1"/>
  <c r="Y31" i="1" s="1"/>
  <c r="Z31" i="1" s="1"/>
  <c r="AA31" i="1" l="1"/>
  <c r="Y32" i="1" s="1"/>
  <c r="Z32" i="1" s="1"/>
  <c r="AA32" i="1" l="1"/>
  <c r="Y33" i="1" s="1"/>
  <c r="AA33" i="1" s="1"/>
  <c r="Y34" i="1" s="1"/>
  <c r="Y11" i="1"/>
  <c r="Z11" i="1" s="1"/>
  <c r="Z33" i="1" l="1"/>
  <c r="Z34" i="1"/>
  <c r="AA34" i="1"/>
  <c r="AA11" i="1" l="1"/>
  <c r="Y15" i="1" l="1"/>
  <c r="Z15" i="1" s="1"/>
  <c r="AA15" i="1" l="1"/>
  <c r="Y16" i="1" s="1"/>
  <c r="Z16" i="1" s="1"/>
  <c r="AA16" i="1" l="1"/>
  <c r="AC30" i="1" l="1"/>
  <c r="AC31" i="1" s="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0"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C32"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5"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D30" i="1"/>
  <c r="W7" i="19"/>
  <c r="Q47" i="19"/>
  <c r="Q37" i="19"/>
  <c r="AC47" i="19"/>
  <c r="W17" i="19"/>
  <c r="AB15" i="1"/>
  <c r="AC16" i="1"/>
  <c r="AB16"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D31"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B32" i="1"/>
  <c r="AC3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D3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D16" i="1"/>
  <c r="AA6" i="19"/>
  <c r="AG6" i="19"/>
  <c r="AA46" i="19"/>
  <c r="AM26" i="19"/>
  <c r="U16" i="19"/>
  <c r="O36" i="19"/>
  <c r="U26" i="19"/>
  <c r="O46" i="19"/>
  <c r="AA26" i="19"/>
  <c r="AM6" i="19"/>
  <c r="U46" i="19"/>
  <c r="AG26" i="19"/>
  <c r="O16" i="19"/>
  <c r="AG36" i="19"/>
  <c r="O26" i="19"/>
  <c r="AM36" i="19"/>
  <c r="AC34" i="1"/>
  <c r="AB34" i="1" s="1"/>
  <c r="AB33"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D15"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D3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D34"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L65" i="1" l="1"/>
  <c r="M65" i="1" s="1"/>
  <c r="L11" i="1"/>
  <c r="M11" i="1" s="1"/>
  <c r="L59" i="1"/>
  <c r="M59" i="1" s="1"/>
  <c r="L29" i="1"/>
  <c r="M29" i="1" s="1"/>
  <c r="AF40" i="18" l="1"/>
  <c r="N8" i="18"/>
  <c r="T24" i="18"/>
  <c r="AL8" i="18"/>
  <c r="Z8" i="18"/>
  <c r="AF16" i="18"/>
  <c r="AL24" i="18"/>
  <c r="N24" i="18"/>
  <c r="AL32" i="18"/>
  <c r="AF24" i="18"/>
  <c r="AL40" i="18"/>
  <c r="AF8" i="18"/>
  <c r="Z32" i="18"/>
  <c r="N40" i="18"/>
  <c r="T40" i="18"/>
  <c r="T8" i="18"/>
  <c r="T32" i="18"/>
  <c r="Z24" i="18"/>
  <c r="AF32" i="18"/>
  <c r="Z16" i="18"/>
  <c r="N32" i="18"/>
  <c r="AL16" i="18"/>
  <c r="T16" i="18"/>
  <c r="Z40" i="18"/>
  <c r="N16" i="18"/>
  <c r="AJ10" i="18"/>
  <c r="L34" i="18"/>
  <c r="X34" i="18"/>
  <c r="L10" i="18"/>
  <c r="AJ42" i="18"/>
  <c r="R34" i="18"/>
  <c r="AJ18" i="18"/>
  <c r="AD18" i="18"/>
  <c r="X18" i="18"/>
  <c r="AD42" i="18"/>
  <c r="L18" i="18"/>
  <c r="AD26" i="18"/>
  <c r="X42" i="18"/>
  <c r="L42" i="18"/>
  <c r="X26" i="18"/>
  <c r="R18" i="18"/>
  <c r="R26" i="18"/>
  <c r="AJ26" i="18"/>
  <c r="AJ34" i="18"/>
  <c r="R10" i="18"/>
  <c r="R42" i="18"/>
  <c r="X10" i="18"/>
  <c r="AD34" i="18"/>
  <c r="L26" i="18"/>
  <c r="AD10" i="18"/>
  <c r="AD30" i="18"/>
  <c r="L38" i="18"/>
  <c r="AJ30" i="18"/>
  <c r="L22" i="18"/>
  <c r="AD38" i="18"/>
  <c r="L30" i="18"/>
  <c r="AJ6" i="18"/>
  <c r="X6" i="18"/>
  <c r="X22" i="18"/>
  <c r="R14" i="18"/>
  <c r="AJ38" i="18"/>
  <c r="AD14" i="18"/>
  <c r="R22" i="18"/>
  <c r="L6" i="18"/>
  <c r="AD22" i="18"/>
  <c r="R38" i="18"/>
  <c r="AD6" i="18"/>
  <c r="X30" i="18"/>
  <c r="L14" i="18"/>
  <c r="AJ22" i="18"/>
  <c r="X14" i="18"/>
  <c r="O29" i="1"/>
  <c r="R30" i="18"/>
  <c r="N29" i="1"/>
  <c r="AC29" i="1" s="1"/>
  <c r="AB29" i="1" s="1"/>
  <c r="AD29" i="1" s="1"/>
  <c r="AJ14" i="18"/>
  <c r="R6" i="18"/>
  <c r="X38" i="18"/>
  <c r="V6" i="18"/>
  <c r="AB38" i="18"/>
  <c r="AB22" i="18"/>
  <c r="AH38" i="18"/>
  <c r="AH30" i="18"/>
  <c r="AB6" i="18"/>
  <c r="V38" i="18"/>
  <c r="P30" i="18"/>
  <c r="P14" i="18"/>
  <c r="AB14" i="18"/>
  <c r="J14" i="18"/>
  <c r="O11" i="1"/>
  <c r="J6" i="18"/>
  <c r="J38" i="18"/>
  <c r="P6" i="18"/>
  <c r="V22" i="18"/>
  <c r="J22" i="18"/>
  <c r="V30" i="18"/>
  <c r="J30" i="18"/>
  <c r="AH22" i="18"/>
  <c r="AH6" i="18"/>
  <c r="P22" i="18"/>
  <c r="V14" i="18"/>
  <c r="N11" i="1"/>
  <c r="AC11" i="1" s="1"/>
  <c r="AB11" i="1" s="1"/>
  <c r="P38" i="18"/>
  <c r="AB30" i="18"/>
  <c r="AH14" i="18"/>
  <c r="Z22" i="18"/>
  <c r="Z38" i="18"/>
  <c r="AL38" i="18"/>
  <c r="T38" i="18"/>
  <c r="AF22" i="18"/>
  <c r="AL22" i="18"/>
  <c r="T30" i="18"/>
  <c r="AF14" i="18"/>
  <c r="N14" i="18"/>
  <c r="T22" i="18"/>
  <c r="N6" i="18"/>
  <c r="N30" i="18"/>
  <c r="T6" i="18"/>
  <c r="AL6" i="18"/>
  <c r="Z6" i="18"/>
  <c r="AL14" i="18"/>
  <c r="AF6" i="18"/>
  <c r="N38" i="18"/>
  <c r="Z30" i="18"/>
  <c r="AL30" i="18"/>
  <c r="AF30" i="18"/>
  <c r="N22" i="18"/>
  <c r="AF38" i="18"/>
  <c r="T14" i="18"/>
  <c r="Z14" i="18"/>
  <c r="AH10" i="18"/>
  <c r="AB26" i="18"/>
  <c r="P10" i="18"/>
  <c r="AH26" i="18"/>
  <c r="J10" i="18"/>
  <c r="AB10" i="18"/>
  <c r="P26" i="18"/>
  <c r="J42" i="18"/>
  <c r="V26" i="18"/>
  <c r="V34" i="18"/>
  <c r="AB42" i="18"/>
  <c r="J26" i="18"/>
  <c r="J18" i="18"/>
  <c r="V42" i="18"/>
  <c r="P34" i="18"/>
  <c r="V18" i="18"/>
  <c r="P42" i="18"/>
  <c r="AH18" i="18"/>
  <c r="P18" i="18"/>
  <c r="V10" i="18"/>
  <c r="J34" i="18"/>
  <c r="AH34" i="18"/>
  <c r="AB18" i="18"/>
  <c r="AB34" i="18"/>
  <c r="AH42" i="18"/>
  <c r="J8" i="18"/>
  <c r="J32" i="18"/>
  <c r="V40" i="18"/>
  <c r="AB24" i="18"/>
  <c r="V24" i="18"/>
  <c r="V32" i="18"/>
  <c r="AH24" i="18"/>
  <c r="P16" i="18"/>
  <c r="AB32" i="18"/>
  <c r="P8" i="18"/>
  <c r="J40" i="18"/>
  <c r="V16" i="18"/>
  <c r="P24" i="18"/>
  <c r="AB16" i="18"/>
  <c r="AH8" i="18"/>
  <c r="AB40" i="18"/>
  <c r="AH40" i="18"/>
  <c r="AB8" i="18"/>
  <c r="J16" i="18"/>
  <c r="AH16" i="18"/>
  <c r="AH32" i="18"/>
  <c r="P32" i="18"/>
  <c r="J24" i="18"/>
  <c r="V8" i="18"/>
  <c r="P40" i="18"/>
  <c r="L40" i="18"/>
  <c r="AD40" i="18"/>
  <c r="R24" i="18"/>
  <c r="AJ24" i="18"/>
  <c r="AJ32" i="18"/>
  <c r="L32" i="18"/>
  <c r="AJ8" i="18"/>
  <c r="AD32" i="18"/>
  <c r="AD24" i="18"/>
  <c r="X16" i="18"/>
  <c r="L24" i="18"/>
  <c r="L8" i="18"/>
  <c r="R32" i="18"/>
  <c r="X40" i="18"/>
  <c r="X8" i="18"/>
  <c r="R40" i="18"/>
  <c r="L16" i="18"/>
  <c r="X32" i="18"/>
  <c r="AD16" i="18"/>
  <c r="AD8" i="18"/>
  <c r="AJ16" i="18"/>
  <c r="X24" i="18"/>
  <c r="R16" i="18"/>
  <c r="AJ40" i="18"/>
  <c r="R8" i="18"/>
  <c r="N59" i="1"/>
  <c r="T26" i="18"/>
  <c r="AF26" i="18"/>
  <c r="Z10" i="18"/>
  <c r="Z34" i="18"/>
  <c r="AL34" i="18"/>
  <c r="AL10" i="18"/>
  <c r="Z18" i="18"/>
  <c r="T10" i="18"/>
  <c r="N26" i="18"/>
  <c r="Z42" i="18"/>
  <c r="N42" i="18"/>
  <c r="AF18" i="18"/>
  <c r="AL18" i="18"/>
  <c r="N34" i="18"/>
  <c r="AL42" i="18"/>
  <c r="AL26" i="18"/>
  <c r="T18" i="18"/>
  <c r="AF34" i="18"/>
  <c r="Z26" i="18"/>
  <c r="O59" i="1"/>
  <c r="T42" i="18"/>
  <c r="AF42" i="18"/>
  <c r="T34" i="18"/>
  <c r="N18" i="18"/>
  <c r="AF10" i="18"/>
  <c r="N10" i="18"/>
  <c r="N65" i="1"/>
  <c r="AH44" i="18"/>
  <c r="J28" i="18"/>
  <c r="J44" i="18"/>
  <c r="P12" i="18"/>
  <c r="AH28" i="18"/>
  <c r="V44" i="18"/>
  <c r="V28" i="18"/>
  <c r="J20" i="18"/>
  <c r="O65" i="1"/>
  <c r="V12" i="18"/>
  <c r="AB20" i="18"/>
  <c r="AB28" i="18"/>
  <c r="P28" i="18"/>
  <c r="AH36" i="18"/>
  <c r="P20" i="18"/>
  <c r="V20" i="18"/>
  <c r="AB12" i="18"/>
  <c r="P36" i="18"/>
  <c r="V36" i="18"/>
  <c r="AB36" i="18"/>
  <c r="AH12" i="18"/>
  <c r="P44" i="18"/>
  <c r="AH20" i="18"/>
  <c r="J36" i="18"/>
  <c r="J12" i="18"/>
  <c r="AB44" i="18"/>
  <c r="V24" i="19" l="1"/>
  <c r="AB24" i="19"/>
  <c r="AH34" i="19"/>
  <c r="V34" i="19"/>
  <c r="P24" i="19"/>
  <c r="J44" i="19"/>
  <c r="P44" i="19"/>
  <c r="AB14" i="19"/>
  <c r="AH24" i="19"/>
  <c r="J34" i="19"/>
  <c r="J54" i="19"/>
  <c r="AH14" i="19"/>
  <c r="P34" i="19"/>
  <c r="V14" i="19"/>
  <c r="AB44" i="19"/>
  <c r="P14" i="19"/>
  <c r="AH54" i="19"/>
  <c r="AB34" i="19"/>
  <c r="P54" i="19"/>
  <c r="J14" i="19"/>
  <c r="J24" i="19"/>
  <c r="AH44" i="19"/>
  <c r="V54" i="19"/>
  <c r="V44" i="19"/>
  <c r="AB54" i="19"/>
  <c r="AH20" i="19"/>
  <c r="P10" i="19"/>
  <c r="P30" i="19"/>
  <c r="AH30" i="19"/>
  <c r="AH50" i="19"/>
  <c r="P40" i="19"/>
  <c r="J30" i="19"/>
  <c r="AB50" i="19"/>
  <c r="V50" i="19"/>
  <c r="AH40" i="19"/>
  <c r="V10" i="19"/>
  <c r="V40" i="19"/>
  <c r="J40" i="19"/>
  <c r="V20" i="19"/>
  <c r="J50" i="19"/>
  <c r="P50" i="19"/>
  <c r="J10" i="19"/>
  <c r="P20" i="19"/>
  <c r="AB30" i="19"/>
  <c r="V30" i="19"/>
  <c r="AH10" i="19"/>
  <c r="AB40" i="19"/>
  <c r="AB10" i="19"/>
  <c r="AB20" i="19"/>
  <c r="J20" i="19"/>
  <c r="AB28" i="19"/>
  <c r="V38" i="19"/>
  <c r="AH28" i="19"/>
  <c r="AB38" i="19"/>
  <c r="V48" i="19"/>
  <c r="P8" i="19"/>
  <c r="V8" i="19"/>
  <c r="V18" i="19"/>
  <c r="P38" i="19"/>
  <c r="AH38" i="19"/>
  <c r="P48" i="19"/>
  <c r="AB18" i="19"/>
  <c r="J8" i="19"/>
  <c r="J18" i="19"/>
  <c r="AB48" i="19"/>
  <c r="AH48" i="19"/>
  <c r="AH18" i="19"/>
  <c r="J38" i="19"/>
  <c r="P18" i="19"/>
  <c r="J28" i="19"/>
  <c r="P28" i="19"/>
  <c r="J48" i="19"/>
  <c r="V28" i="19"/>
  <c r="AB8" i="19"/>
  <c r="AH8" i="19"/>
  <c r="J47" i="19"/>
  <c r="P47" i="19"/>
  <c r="P17" i="19"/>
  <c r="AB17" i="19"/>
  <c r="V27" i="19"/>
  <c r="J7" i="19"/>
  <c r="AH37" i="19"/>
  <c r="V47" i="19"/>
  <c r="AB27" i="19"/>
  <c r="AH7" i="19"/>
  <c r="V37" i="19"/>
  <c r="P27" i="19"/>
  <c r="J37" i="19"/>
  <c r="J27" i="19"/>
  <c r="P7" i="19"/>
  <c r="V7" i="19"/>
  <c r="J17" i="19"/>
  <c r="AH27" i="19"/>
  <c r="AB7" i="19"/>
  <c r="AH17" i="19"/>
  <c r="AH47" i="19"/>
  <c r="AB37" i="19"/>
  <c r="AB47" i="19"/>
  <c r="P37" i="19"/>
  <c r="V17" i="19"/>
  <c r="AH49" i="19"/>
  <c r="V39" i="19"/>
  <c r="J19" i="19"/>
  <c r="AB29" i="19"/>
  <c r="V49" i="19"/>
  <c r="AH29" i="19"/>
  <c r="P9" i="19"/>
  <c r="P29" i="19"/>
  <c r="V19" i="19"/>
  <c r="AB9" i="19"/>
  <c r="P39" i="19"/>
  <c r="V9" i="19"/>
  <c r="V29" i="19"/>
  <c r="P49" i="19"/>
  <c r="AH39" i="19"/>
  <c r="AB19" i="19"/>
  <c r="J39" i="19"/>
  <c r="AH9" i="19"/>
  <c r="J49" i="19"/>
  <c r="J9" i="19"/>
  <c r="AB39" i="19"/>
  <c r="J29" i="19"/>
  <c r="AB49" i="19"/>
  <c r="P19" i="19"/>
  <c r="AH19" i="19"/>
  <c r="V22" i="19"/>
  <c r="V12" i="19"/>
  <c r="AB12" i="19"/>
  <c r="V42" i="19"/>
  <c r="AH42" i="19"/>
  <c r="AH22" i="19"/>
  <c r="P22" i="19"/>
  <c r="J22" i="19"/>
  <c r="P52" i="19"/>
  <c r="P32" i="19"/>
  <c r="V32" i="19"/>
  <c r="P12" i="19"/>
  <c r="AH32" i="19"/>
  <c r="J42" i="19"/>
  <c r="AH12" i="19"/>
  <c r="AB42" i="19"/>
  <c r="AH52" i="19"/>
  <c r="AB32" i="19"/>
  <c r="J32" i="19"/>
  <c r="AB52" i="19"/>
  <c r="J12" i="19"/>
  <c r="AB22" i="19"/>
  <c r="P42" i="19"/>
  <c r="J52" i="19"/>
  <c r="V52" i="19"/>
  <c r="AB16" i="19"/>
  <c r="AH36" i="19"/>
  <c r="AD11" i="1"/>
  <c r="J36" i="19"/>
  <c r="V6" i="19"/>
  <c r="AH6" i="19"/>
  <c r="AB26" i="19"/>
  <c r="AH26" i="19"/>
  <c r="P26" i="19"/>
  <c r="AB36" i="19"/>
  <c r="AH46" i="19"/>
  <c r="J46" i="19"/>
  <c r="V46" i="19"/>
  <c r="AB46" i="19"/>
  <c r="J16" i="19"/>
  <c r="V16" i="19"/>
  <c r="AB6" i="19"/>
  <c r="AH16" i="19"/>
  <c r="P16" i="19"/>
  <c r="J6" i="19"/>
  <c r="V26" i="19"/>
  <c r="V36" i="19"/>
  <c r="P36" i="19"/>
  <c r="J26" i="19"/>
  <c r="P6" i="19"/>
  <c r="P46" i="19"/>
  <c r="AB33" i="19"/>
  <c r="AB43" i="19"/>
  <c r="P13" i="19"/>
  <c r="AH43" i="19"/>
  <c r="J13" i="19"/>
  <c r="AH33" i="19"/>
  <c r="AB13" i="19"/>
  <c r="AH23" i="19"/>
  <c r="V23" i="19"/>
  <c r="J33" i="19"/>
  <c r="V13" i="19"/>
  <c r="P43" i="19"/>
  <c r="J43" i="19"/>
  <c r="AH13" i="19"/>
  <c r="P33" i="19"/>
  <c r="AB23" i="19"/>
  <c r="AB53" i="19"/>
  <c r="P53" i="19"/>
  <c r="AH53" i="19"/>
  <c r="J23" i="19"/>
  <c r="V33" i="19"/>
  <c r="J53" i="19"/>
  <c r="V43" i="19"/>
  <c r="V53" i="19"/>
  <c r="P23" i="19"/>
  <c r="V11" i="19"/>
  <c r="AB41" i="19"/>
  <c r="J21" i="19"/>
  <c r="V41" i="19"/>
  <c r="P51" i="19"/>
  <c r="J51" i="19"/>
  <c r="P11" i="19"/>
  <c r="P31" i="19"/>
  <c r="AB21" i="19"/>
  <c r="AB31" i="19"/>
  <c r="V31" i="19"/>
  <c r="V21" i="19"/>
  <c r="AH51" i="19"/>
  <c r="AH41" i="19"/>
  <c r="AB51" i="19"/>
  <c r="AH21" i="19"/>
  <c r="AH31" i="19"/>
  <c r="AH11" i="19"/>
  <c r="J11" i="19"/>
  <c r="J31" i="19"/>
  <c r="P41" i="19"/>
  <c r="P21" i="19"/>
  <c r="AB11" i="19"/>
  <c r="V51" i="19"/>
  <c r="J41" i="19"/>
  <c r="B227" i="13"/>
  <c r="B226"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<sst xmlns="http://schemas.openxmlformats.org/spreadsheetml/2006/main" count="612" uniqueCount="391">
  <si>
    <t>Matriz Mapa Riesgos Fiscales</t>
  </si>
  <si>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</si>
  <si>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</si>
  <si>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</si>
  <si>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</si>
  <si>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</si>
  <si>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</si>
  <si>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</si>
  <si>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</si>
  <si>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</si>
  <si>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</si>
  <si>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</si>
  <si>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</si>
  <si>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</si>
  <si>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</si>
  <si>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</si>
  <si>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</si>
  <si>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</si>
  <si>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</si>
  <si>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</si>
  <si>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</si>
  <si>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</si>
  <si>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</si>
  <si>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</si>
  <si>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</si>
  <si>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</si>
  <si>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</si>
  <si>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</si>
  <si>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</si>
  <si>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</si>
  <si>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</si>
  <si>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</si>
  <si>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</si>
  <si>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</si>
  <si>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</si>
  <si>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</si>
  <si>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</si>
  <si>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</si>
  <si>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</si>
  <si>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</si>
  <si>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</si>
  <si>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</si>
  <si>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</si>
  <si>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</si>
  <si>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</si>
  <si>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</si>
  <si>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</si>
  <si>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</si>
  <si>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</si>
  <si>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</si>
  <si>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</si>
  <si>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</si>
  <si>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</si>
  <si>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</si>
  <si>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</si>
  <si>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</si>
  <si>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</si>
  <si>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</si>
  <si>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</si>
  <si>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</si>
  <si>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</si>
  <si>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</si>
  <si>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</si>
  <si>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t>Objetivo:</t>
  </si>
  <si>
    <t>Alcance:</t>
  </si>
  <si>
    <t>Identificación del riesgo</t>
  </si>
  <si>
    <t>Análisis del riesgo inherente</t>
  </si>
  <si>
    <t>Evaluación del riesgo - Valoración de los controles</t>
  </si>
  <si>
    <t>Evaluación del riesgo - Nivel del riesgo residual</t>
  </si>
  <si>
    <t>Plan de Acción</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</si>
  <si>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</si>
  <si>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</si>
  <si>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</si>
  <si>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</si>
  <si>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</si>
  <si>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</si>
  <si>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</si>
  <si>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</si>
  <si>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</si>
  <si>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</si>
  <si>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</si>
  <si>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</si>
  <si>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</si>
  <si>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</si>
  <si>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</si>
  <si>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</si>
  <si>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</si>
  <si>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</si>
  <si>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</si>
  <si>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</si>
  <si>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</si>
  <si>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</si>
  <si>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</si>
  <si>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</si>
  <si>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</si>
  <si>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</si>
  <si>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</si>
  <si>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</si>
  <si>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100 y 500 SMLMV </t>
  </si>
  <si>
    <t>El supervisor designado ejercerá el control y seguimiento a la ejecución contractual para verificar el cumplimiento de las condiciones y especificaciones técnicas pactadas y establecidas en la etapa precontractual, de acuerdo a las normas vigentes.</t>
  </si>
  <si>
    <t>Preventivo</t>
  </si>
  <si>
    <t>Manual</t>
  </si>
  <si>
    <t>Documentado</t>
  </si>
  <si>
    <t>Continua</t>
  </si>
  <si>
    <t>Con Registro</t>
  </si>
  <si>
    <t>Reducir (mitigar)</t>
  </si>
  <si>
    <t xml:space="preserve">Supervisores designados </t>
  </si>
  <si>
    <t xml:space="preserve">No inclusión en el contrato de seguros -amparo de bienes de la entidad- todos los bienes muebles e inmuebles de la entidad </t>
  </si>
  <si>
    <t>Profesional encargado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</si>
  <si>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</si>
  <si>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</si>
  <si>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</si>
  <si>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</si>
  <si>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</si>
  <si>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</si>
  <si>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</si>
  <si>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</si>
  <si>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</si>
  <si>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</si>
  <si>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</si>
  <si>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</si>
  <si>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</si>
  <si>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</si>
  <si>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</si>
  <si>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</si>
  <si>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</si>
  <si>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</si>
  <si>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</si>
  <si>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</si>
  <si>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</si>
  <si>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</si>
  <si>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</si>
  <si>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</si>
  <si>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</si>
  <si>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</si>
  <si>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</si>
  <si>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</si>
  <si>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</si>
  <si>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</si>
  <si>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</si>
  <si>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</si>
  <si>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</si>
  <si>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</si>
  <si>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</si>
  <si>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</si>
  <si>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</si>
  <si>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</si>
  <si>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</si>
  <si>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</si>
  <si>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</si>
  <si>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</si>
  <si>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</si>
  <si>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</si>
  <si>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</si>
  <si>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</si>
  <si>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</si>
  <si>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</si>
  <si>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</si>
  <si>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</si>
  <si>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</si>
  <si>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</si>
  <si>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</si>
  <si>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</si>
  <si>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</si>
  <si>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</si>
  <si>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</si>
  <si>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</si>
  <si>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</si>
  <si>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</si>
  <si>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</si>
  <si>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</si>
  <si>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</si>
  <si>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</si>
  <si>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</si>
  <si>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</si>
  <si>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</si>
  <si>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</si>
  <si>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</si>
  <si>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</si>
  <si>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</si>
  <si>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</si>
  <si>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</si>
  <si>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</si>
  <si>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</si>
  <si>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</si>
  <si>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</si>
  <si>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</si>
  <si>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</si>
  <si>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</si>
  <si>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</si>
  <si>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</si>
  <si>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</si>
  <si>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</si>
  <si>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</si>
  <si>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</si>
  <si>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</si>
  <si>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</si>
  <si>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</si>
  <si>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</si>
  <si>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</si>
  <si>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</si>
  <si>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</si>
  <si>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</si>
  <si>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</si>
  <si>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</si>
  <si>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</si>
  <si>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</si>
  <si>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</si>
  <si>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</si>
  <si>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</si>
  <si>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</si>
  <si>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</si>
  <si>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</si>
  <si>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</si>
  <si>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</si>
  <si>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</si>
  <si>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</si>
  <si>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</si>
  <si>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</si>
  <si>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</si>
  <si>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</si>
  <si>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</si>
  <si>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</si>
  <si>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</si>
  <si>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</si>
  <si>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</si>
  <si>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</si>
  <si>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</si>
  <si>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</si>
  <si>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</si>
  <si>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</si>
  <si>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</si>
  <si>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</si>
  <si>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</si>
  <si>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</si>
  <si>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</si>
  <si>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</si>
  <si>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</si>
  <si>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</si>
  <si>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</si>
  <si>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</si>
  <si>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</si>
  <si>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</si>
  <si>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</si>
  <si>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</si>
  <si>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</si>
  <si>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</si>
  <si>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</si>
  <si>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</si>
  <si>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</si>
  <si>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</si>
  <si>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</si>
  <si>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</si>
  <si>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</si>
  <si>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</si>
  <si>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</si>
  <si>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</si>
  <si>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</si>
  <si>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</si>
  <si>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</si>
  <si>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</si>
  <si>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</si>
  <si>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</si>
  <si>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</si>
  <si>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</si>
  <si>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</si>
  <si>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</si>
  <si>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</si>
  <si>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</si>
  <si>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</si>
  <si>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</si>
  <si>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</si>
  <si>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</si>
  <si>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</si>
  <si>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</si>
  <si>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</si>
  <si>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</si>
  <si>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</si>
  <si>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</si>
  <si>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</si>
  <si>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</si>
  <si>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</si>
  <si>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</si>
  <si>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</si>
  <si>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</si>
  <si>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</si>
  <si>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</si>
  <si>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</si>
  <si>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</si>
  <si>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</si>
  <si>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</si>
  <si>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</si>
  <si>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</si>
  <si>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</si>
  <si>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</si>
  <si>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</si>
  <si>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</si>
  <si>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</si>
  <si>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</si>
  <si>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</si>
  <si>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</si>
  <si>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</si>
  <si>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</si>
  <si>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</si>
  <si>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</si>
  <si>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</si>
  <si>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</si>
  <si>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</si>
  <si>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</si>
  <si>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</si>
  <si>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</si>
  <si>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</si>
  <si>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</si>
  <si>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</si>
  <si>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</si>
  <si>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</si>
  <si>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</si>
  <si>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</si>
  <si>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</si>
  <si>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</si>
  <si>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</si>
  <si>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</si>
  <si>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</si>
  <si>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Código:</t>
  </si>
  <si>
    <t xml:space="preserve">Página: </t>
  </si>
  <si>
    <r>
      <t xml:space="preserve">Versión: </t>
    </r>
    <r>
      <rPr>
        <sz val="14"/>
        <rFont val="Arial Narrow"/>
        <family val="2"/>
      </rPr>
      <t>0.0</t>
    </r>
  </si>
  <si>
    <r>
      <t>Fecha Aprobación:</t>
    </r>
    <r>
      <rPr>
        <sz val="14"/>
        <rFont val="Arial Narrow"/>
        <family val="2"/>
      </rPr>
      <t xml:space="preserve"> </t>
    </r>
  </si>
  <si>
    <t>ITEM</t>
  </si>
  <si>
    <t>REFERENCIA</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</si>
  <si>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</si>
  <si>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</si>
  <si>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</si>
  <si>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RECURSO FISICO</t>
  </si>
  <si>
    <t xml:space="preserve">Pago de sanción e intereses moratorios. </t>
  </si>
  <si>
    <t>Mayores valores pagados en la nómina</t>
  </si>
  <si>
    <t>Inconsistencias en la información reportada en el software de nómina de la entidad.</t>
  </si>
  <si>
    <t>Posibilidad de efecto dañoso sobre recursos públicos por mayores valores pagados en la nómina, a causa de inconsistencias en la información reportada en el software de nómina de la entidad.</t>
  </si>
  <si>
    <t>El funcionario emitirá lineamientos a los supervisores de los contratos con el fin de que estos ejerza el control y seguimiento a la ejecución contractual para verificar el cumplimiento de las condiciones y especificaciones técnicas pactadas y establecidas en la etapa precontractual, de acuerdo a las normas vigentes.</t>
  </si>
  <si>
    <t>preventivo</t>
  </si>
  <si>
    <t xml:space="preserve">Profesional encargado </t>
  </si>
  <si>
    <t>Pagar bienes, servicios u obras  a pesar de no cumplir las condiciones de calidad</t>
  </si>
  <si>
    <t>Obras recibidas a satisfacción</t>
  </si>
  <si>
    <t>Colapso o fallas en la estabiilidad  de la obra</t>
  </si>
  <si>
    <t>El profesional encargado verifica que los bienes, servicios, obras cumplan con la condiciones de calidad de acuerdo al requerimiento para lo cual fue contratado</t>
  </si>
  <si>
    <t>Realizar un (1)  informe  de monitoreo y seguimiento  de las actividades realizas por parte del contratista (supervisor)</t>
  </si>
  <si>
    <r>
      <rPr>
        <b/>
        <sz val="12"/>
        <color theme="9" tint="-0.249977111117893"/>
        <rFont val="Arial Narrow"/>
        <family val="2"/>
      </rPr>
      <t xml:space="preserve">*Nota: </t>
    </r>
    <r>
      <rPr>
        <sz val="12"/>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</si>
  <si>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FINANCIERA &amp; PRESUPUESTAL</t>
  </si>
  <si>
    <t xml:space="preserve"> Trámite inoportuno a los requerimientos PQRSD  remitidos por los entes de control y vigilancia, ciudadania , afiliados , de acuerdo con sus linemientos y términos de ley </t>
  </si>
  <si>
    <t xml:space="preserve">Posibilidad de efecto dañoso sobre recursos públicos por pago de sanción e intereses moratorios, a causa del trámite inoportuno a los requerimientos  PQRSD de los entes de control y vigilancia, de acuerdo con sus lineamientos y términos de ley </t>
  </si>
  <si>
    <t>JURIDICO &amp; CONTRACTUAL</t>
  </si>
  <si>
    <t>Posibilidad de efecto dañoso sobre recursos públicos por la no inclusión en el contrato de seguros -amparo de bienes de la entidad- todos los bienes muebles e inmuebles de la entidad , a causa del incumplimiento en la cobertura de las garantías que amparan los riesgos definidos en la etapa precontractual de acuerdo al Manual de Contratación  CPSM VIG 2023</t>
  </si>
  <si>
    <t>Incumplimiento en la cobertura de las garantías que amparan los riesgos definidos en la etapa precontractual de acuerdo al Manual de Contratación  CPSM VIG 2023</t>
  </si>
  <si>
    <t>La Subdireccion Juridica- contratacion  verifica que  las condiciones de las garantias: Integridad de la Póliza, Vigencia y Valores, amparos exigidos en el contrato suscrito este dando aplicacion a lo suscrito en el  Manual de Contratación CPSM VIG 2023</t>
  </si>
  <si>
    <t xml:space="preserve">Realizar un seguimiento a las condiciones de la garantía:  Integridad de la Póliza, Vigencia y Valores, amparos exigidos de acuerdo a lo estipulado en el contrato suscrito dando aplicación al  Manual de Contratación </t>
  </si>
  <si>
    <t>Realizar el envío por correo electrónico del inventario de bienes muebles asignados a los servidores públicos de la CPSM , indicando el estado de su inventario</t>
  </si>
  <si>
    <t>Servidores públicos- Profesional encargado del área de inventarios.(contador)</t>
  </si>
  <si>
    <t>Profesional encargado del área de inventarios. (contador)</t>
  </si>
  <si>
    <t xml:space="preserve">Realizar un (01) informe trismestral  sobre el cumplimiento de las respuestas a los entes de control y vigilancia, ciudadania y afiliados , conforme a solicitudes asignada por  competencia a las dependencias de la CPSM, </t>
  </si>
  <si>
    <t>Secretario ejecutivo</t>
  </si>
  <si>
    <t>Aplicar el procedimiento para liquidación de nómina y liquidación  prima de servicios y navidad generando una prenómina para su revisión, para posteriormente generar el documento oficial de nómina  para revision a detalle de los items registrados antes de proceder con el tramite de pago,</t>
  </si>
  <si>
    <t>Profesional encargado contador</t>
  </si>
  <si>
    <t>JURIDICO &amp; CONTACTUAL  /  SECRETARIA EJECUTIVA/ SISTEMAS</t>
  </si>
  <si>
    <t>El secretario ejecutivo asignado a al ventanilla unica,   revisará y dará  trámite oportuno a las PQRSD allegadas al  correo institucional   contactenos@cpsm.gov.co y aplicativos Cesantias y PQRSD pagina web , las cuales seran remitidas   a los responsables con el fin de dar  trámite en los términos de ley.</t>
  </si>
  <si>
    <t>Subdirección Juridica
Demas dependencias</t>
  </si>
  <si>
    <t>Profesional encargado sistemas</t>
  </si>
  <si>
    <t xml:space="preserve">El profesional  de sistemas revisa la  infraestructura tecnologica de la pagina web de la entidad a traves de actividades de monitoreo en cuanto a funcionamiento optimo de los aplicativos </t>
  </si>
  <si>
    <t>JURIDICO &amp; CONTACTUAL  /  SUBADMINISTRATIVA/ SISTEMAS</t>
  </si>
  <si>
    <t>Identificar los riesgos fiscales que tienen una probabilidad de ocurrir y  mitigarlos con acciones preventivas que reduzcan su impacto dentro del normal desarrollo de los procesos internos de la entidad</t>
  </si>
  <si>
    <t>Fortalecer el cumplimiento de la politica de administracion de riesgops -fiscales  en pro de mitigar los riesgos identificados en etapas contractuales - administrativas  y de direccionamiento estrategico</t>
  </si>
  <si>
    <t>Realizar un seguimiento a los informes de supervisión de los contratos en ejecución suscritos por la subdireccion admnistrativa &amp; juridica,  a partir de la fecha de inicio del Plan de Acción, para verificar el cumplimiento de las condiciones y especificaciones técnicas pactadas y establecidas en la etapa precontractual, de acuerdo a las normas vigentes.</t>
  </si>
  <si>
    <t xml:space="preserve">Circular dirigida a los supervisores de contrato recordando el deber de dar cumplimiento a las obligaciones estipuladas conforme lo señala los Articulos 82, 83 y 84 de la Ley 1474 de 2011 y el Manual de Contrataciòn </t>
  </si>
  <si>
    <t>El funcionario verifica el inventario de bienes muebles asignados a su cargo, de acuerdo con el formato de seguimiento,</t>
  </si>
  <si>
    <t>Realizar un seguimiento del inventario de bienes muebles asignado a los servidores públicos  y del almacen, de acuerdo con el formato registro de inventrarios CPSM, a cargo del profesional contador</t>
  </si>
  <si>
    <t>Errores en la liquidación y cálculo de la retención en la fuente practicada a los funcionarios de la CPSM</t>
  </si>
  <si>
    <t xml:space="preserve">Ausencia de controles preventivos y detectivos en el proceso de la liquidación de la retención en la fuente de ingresos laborales de los funcionarios </t>
  </si>
  <si>
    <t>Posibilidad de efecto dañoso sobre recursos públicos por errores en la liquidación y cálculo de la retención en la fuente practicadaa los funcionarios de la CPSM , a causa de la Ausencia de controles preventivos y detectivos en el proceso de liquidación.</t>
  </si>
  <si>
    <t>El profesional encargado del área de nómina, verifica la información del sistema de nómina y garantiza el correcto cálculo y descuento a los funcionarios por concepto de retencion,</t>
  </si>
  <si>
    <t>Expedir y comunicar una circular dirigida a las Dependencias de la CPSM sobre la debida  y/o respuestas en  defensa tecnica teniendo en cuenta los requerimientos en las PQRSD allegadas
De igual forma socializar los procesos en contra de la CPSM, comité de conciliaciones,</t>
  </si>
  <si>
    <t>La subdirección juridica emitirá linamientos respecto de la forma adecuada de ejercer la Defensa Técnica de los intereses y procesos juridicos (demandas y litigios)  de la CPSM  en aras de prevenir la configuración de Daño Antijurídico contra la entidad</t>
  </si>
  <si>
    <t xml:space="preserve">Realizar un (1)  informe  de monitoreo  de las actividades programadas según cronograma de trabajo para el normal sosteniemiento de la pagina web de la entidad. </t>
  </si>
  <si>
    <t xml:space="preserve">La secretaria ejecutiva encargada de dar trázabilidad oportuna a los requerimientos  ´PQRSD de los entes de control y vigilancia, afiliados y ciudadania en general  verifica los terminos de respuesta  de acuerdo con los linemientos y la normatividad vigente </t>
  </si>
  <si>
    <t>La persona encargada de nómina verifica la información reportada de acuerdo con el procedimiento para liquidación de nómina , liquidación  prima de servicios , navidad e informacion de vinculación y desvinculación de funcionarios publicos</t>
  </si>
  <si>
    <t>Mantener actualizado el procedimiento de liquidacion de retencion en la fuente por salarios,</t>
  </si>
  <si>
    <t>SUDIRECCION ADMINISTRATIVA</t>
  </si>
  <si>
    <t>No cobro de incapacidades</t>
  </si>
  <si>
    <t xml:space="preserve">No gestion oportuna del cobro de incapacidades </t>
  </si>
  <si>
    <t xml:space="preserve">Posibilidad de efecto dañoso por el no cobro de incapacidades </t>
  </si>
  <si>
    <t>El profesional encargado debera tramitar el cobro de las incapacidades superiores a 3 dias ante la EPS y realizar el seguimiento de que las incapacidades sean pagadas a la Entidad en el menor tiempo posible</t>
  </si>
  <si>
    <t xml:space="preserve">
Soporte radicado de cobro de  de las incapacidades generadas por los servidores publicos que sean mayores a 3 dias  ante la eps y su respectivo trazabilidad de pago a la CPSM</t>
  </si>
  <si>
    <t>ENERO 31 2024</t>
  </si>
  <si>
    <t xml:space="preserve">APROBADO EN COMITÉ DE GESTIÓN Y DESEMPEÑO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</si>
</sst>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6" tint="-0.249977111117893"/>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1"/>
      <name val="Arial"/>
      <family val="2"/>
    </font>
    <font>
      <sz val="11"/>
      <name val="Arial"/>
      <family val="2"/>
    </font>
    <font>
      <sz val="12"/>
      <color theme="1"/>
      <name val="Arial"/>
      <family val="2"/>
    </font>
    <font>
      <sz val="20"/>
      <color theme="1"/>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4"/>
      <name val="Arial Narrow"/>
      <family val="2"/>
    </font>
    <font>
      <sz val="12"/>
      <name val="Arial Narrow"/>
      <family val="2"/>
    </font>
    <font>
      <b/>
      <sz val="12"/>
      <color theme="1"/>
      <name val="Arial Narrow"/>
      <family val="2"/>
    </font>
    <font>
      <b/>
      <sz val="4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7"/>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bottom/>
      <diagonal/>
    </border>
    <border>
      <left style="dashed">
        <color rgb="FFE26B0A"/>
      </left>
      <right style="dashed">
        <color rgb="FFE26B0A"/>
      </right>
      <top style="dashed">
        <color rgb="FFE26B0A"/>
      </top>
      <bottom style="dashed">
        <color rgb="FFE26B0A"/>
      </bottom>
      <diagonal/>
    </border>
    <border>
      <left style="dashed">
        <color theme="9" tint="-0.24994659260841701"/>
      </left>
      <right style="dashed">
        <color rgb="FFE26B0A"/>
      </right>
      <top style="dashed">
        <color theme="9" tint="-0.24994659260841701"/>
      </top>
      <bottom/>
      <diagonal/>
    </border>
    <border>
      <left style="dashed">
        <color theme="9" tint="-0.24994659260841701"/>
      </left>
      <right style="dashed">
        <color rgb="FFE26B0A"/>
      </right>
      <top/>
      <bottom/>
      <diagonal/>
    </border>
    <border>
      <left style="dashed">
        <color theme="9" tint="-0.24994659260841701"/>
      </left>
      <right style="dashed">
        <color rgb="FFE26B0A"/>
      </right>
      <top/>
      <bottom style="dashed">
        <color theme="9" tint="-0.24994659260841701"/>
      </bottom>
      <diagonal/>
    </border>
    <border>
      <left style="dashed">
        <color rgb="FFE26B0A"/>
      </left>
      <right style="dashed">
        <color rgb="FFE26B0A"/>
      </right>
      <top style="dashed">
        <color theme="9" tint="-0.24994659260841701"/>
      </top>
      <bottom/>
      <diagonal/>
    </border>
    <border>
      <left style="dashed">
        <color rgb="FFE26B0A"/>
      </left>
      <right style="dashed">
        <color rgb="FFE26B0A"/>
      </right>
      <top/>
      <bottom style="dashed">
        <color theme="9" tint="-0.24994659260841701"/>
      </bottom>
      <diagonal/>
    </border>
    <border>
      <left style="dashed">
        <color rgb="FFE26B0A"/>
      </left>
      <right style="dashed">
        <color theme="9" tint="-0.24994659260841701"/>
      </right>
      <top style="dashed">
        <color theme="9" tint="-0.24994659260841701"/>
      </top>
      <bottom/>
      <diagonal/>
    </border>
    <border>
      <left style="dashed">
        <color rgb="FFE26B0A"/>
      </left>
      <right style="dashed">
        <color theme="9" tint="-0.24994659260841701"/>
      </right>
      <top/>
      <bottom/>
      <diagonal/>
    </border>
    <border>
      <left style="dashed">
        <color rgb="FFE26B0A"/>
      </left>
      <right style="dashed">
        <color theme="9" tint="-0.24994659260841701"/>
      </right>
      <top/>
      <bottom style="dashed">
        <color theme="9" tint="-0.24994659260841701"/>
      </bottom>
      <diagonal/>
    </border>
  </borders>
  <cellStyleXfs count="5">
    <xf numFmtId="0" fontId="0" fillId="0" borderId="0"/>
    <xf numFmtId="9" fontId="9" fillId="0" borderId="0" applyFont="0" applyFill="0" applyBorder="0" applyAlignment="0" applyProtection="0"/>
    <xf numFmtId="0" fontId="33" fillId="0" borderId="0"/>
    <xf numFmtId="0" fontId="34" fillId="0" borderId="0"/>
    <xf numFmtId="0" fontId="5" fillId="0" borderId="0"/>
  </cellStyleXfs>
  <cellXfs count="523">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20"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3" fillId="3" borderId="0" xfId="0" applyFont="1" applyFill="1"/>
    <xf numFmtId="0" fontId="24" fillId="3" borderId="33" xfId="0" applyFont="1" applyFill="1" applyBorder="1" applyAlignment="1">
      <alignment horizontal="center" vertical="center" wrapText="1" readingOrder="1"/>
    </xf>
    <xf numFmtId="0" fontId="25" fillId="3" borderId="33" xfId="0" applyFont="1" applyFill="1" applyBorder="1" applyAlignment="1">
      <alignment horizontal="justify" vertical="center" wrapText="1" readingOrder="1"/>
    </xf>
    <xf numFmtId="9" fontId="24" fillId="3" borderId="40" xfId="0" applyNumberFormat="1"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1"/>
    </xf>
    <xf numFmtId="0" fontId="25" fillId="3" borderId="32" xfId="0" applyFont="1" applyFill="1" applyBorder="1" applyAlignment="1">
      <alignment horizontal="justify" vertical="center" wrapText="1" readingOrder="1"/>
    </xf>
    <xf numFmtId="9" fontId="24" fillId="3" borderId="35" xfId="0" applyNumberFormat="1" applyFont="1" applyFill="1" applyBorder="1" applyAlignment="1">
      <alignment horizontal="center" vertical="center" wrapText="1" readingOrder="1"/>
    </xf>
    <xf numFmtId="0" fontId="25" fillId="3" borderId="35" xfId="0" applyFont="1" applyFill="1" applyBorder="1" applyAlignment="1">
      <alignment horizontal="center" vertical="center" wrapText="1" readingOrder="1"/>
    </xf>
    <xf numFmtId="0" fontId="24" fillId="3" borderId="37" xfId="0" applyFont="1" applyFill="1" applyBorder="1" applyAlignment="1">
      <alignment horizontal="center" vertical="center" wrapText="1" readingOrder="1"/>
    </xf>
    <xf numFmtId="0" fontId="25" fillId="3" borderId="37" xfId="0" applyFont="1" applyFill="1" applyBorder="1" applyAlignment="1">
      <alignment horizontal="justify" vertical="center" wrapText="1" readingOrder="1"/>
    </xf>
    <xf numFmtId="0" fontId="25" fillId="3" borderId="38" xfId="0" applyFont="1" applyFill="1" applyBorder="1" applyAlignment="1">
      <alignment horizontal="center" vertical="center" wrapText="1" readingOrder="1"/>
    </xf>
    <xf numFmtId="0" fontId="32" fillId="3" borderId="0" xfId="0" applyFont="1" applyFill="1"/>
    <xf numFmtId="0" fontId="24" fillId="14" borderId="42" xfId="0" applyFont="1" applyFill="1" applyBorder="1" applyAlignment="1">
      <alignment horizontal="center" vertical="center" wrapText="1" readingOrder="1"/>
    </xf>
    <xf numFmtId="0" fontId="24" fillId="14" borderId="43" xfId="0" applyFont="1" applyFill="1" applyBorder="1" applyAlignment="1">
      <alignment horizontal="center" vertical="center" wrapText="1" readingOrder="1"/>
    </xf>
    <xf numFmtId="0" fontId="46" fillId="0" borderId="16" xfId="0" applyFont="1" applyBorder="1" applyAlignment="1">
      <alignment horizontal="center" vertical="center" wrapText="1"/>
    </xf>
    <xf numFmtId="0" fontId="47"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5" fillId="0" borderId="14" xfId="0" applyFont="1" applyBorder="1" applyAlignment="1">
      <alignment horizontal="center" vertical="center" wrapText="1"/>
    </xf>
    <xf numFmtId="0" fontId="49" fillId="3" borderId="32" xfId="0" applyFont="1" applyFill="1" applyBorder="1" applyAlignment="1">
      <alignment horizontal="left" vertical="center"/>
    </xf>
    <xf numFmtId="0" fontId="21" fillId="3" borderId="32" xfId="0" applyFont="1" applyFill="1" applyBorder="1" applyAlignment="1">
      <alignment horizontal="center" vertical="center" wrapText="1"/>
    </xf>
    <xf numFmtId="0" fontId="35" fillId="3" borderId="32" xfId="2" applyFont="1" applyFill="1" applyBorder="1"/>
    <xf numFmtId="0" fontId="37"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35"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40" fillId="3" borderId="32" xfId="0" applyFont="1" applyFill="1" applyBorder="1" applyAlignment="1">
      <alignment horizontal="left" vertical="center" wrapText="1"/>
    </xf>
    <xf numFmtId="0" fontId="41" fillId="3" borderId="32" xfId="0" applyFont="1" applyFill="1" applyBorder="1" applyAlignment="1">
      <alignment horizontal="left" vertical="top" wrapText="1"/>
    </xf>
    <xf numFmtId="0" fontId="35" fillId="3" borderId="32" xfId="2" applyFont="1" applyFill="1" applyBorder="1" applyAlignment="1">
      <alignment horizontal="left" vertical="top" wrapText="1"/>
    </xf>
    <xf numFmtId="0" fontId="53" fillId="0" borderId="0" xfId="0" applyFont="1"/>
    <xf numFmtId="0" fontId="53" fillId="3" borderId="0" xfId="0" applyFont="1" applyFill="1"/>
    <xf numFmtId="0" fontId="53" fillId="3" borderId="32" xfId="0" applyFont="1" applyFill="1" applyBorder="1"/>
    <xf numFmtId="0" fontId="56" fillId="3" borderId="0" xfId="0" applyFont="1" applyFill="1"/>
    <xf numFmtId="0" fontId="57" fillId="5" borderId="32" xfId="0" applyFont="1" applyFill="1" applyBorder="1" applyAlignment="1">
      <alignment horizontal="center" vertical="center" wrapText="1" readingOrder="1"/>
    </xf>
    <xf numFmtId="0" fontId="57" fillId="7" borderId="32" xfId="0" applyFont="1" applyFill="1" applyBorder="1" applyAlignment="1">
      <alignment horizontal="center" vertical="center" wrapText="1" readingOrder="1"/>
    </xf>
    <xf numFmtId="0" fontId="57" fillId="4" borderId="32" xfId="0" applyFont="1" applyFill="1" applyBorder="1" applyAlignment="1">
      <alignment horizontal="center" vertical="center" wrapText="1" readingOrder="1"/>
    </xf>
    <xf numFmtId="0" fontId="57" fillId="8" borderId="32" xfId="0" applyFont="1" applyFill="1" applyBorder="1" applyAlignment="1">
      <alignment horizontal="center" vertical="center" wrapText="1" readingOrder="1"/>
    </xf>
    <xf numFmtId="0" fontId="58" fillId="9" borderId="32" xfId="0" applyFont="1" applyFill="1" applyBorder="1" applyAlignment="1">
      <alignment horizontal="center" vertical="center" wrapText="1" readingOrder="1"/>
    </xf>
    <xf numFmtId="0" fontId="59" fillId="3" borderId="0" xfId="0" applyFont="1" applyFill="1" applyAlignment="1">
      <alignment horizontal="justify" vertical="center" wrapText="1" readingOrder="1"/>
    </xf>
    <xf numFmtId="0" fontId="60" fillId="3" borderId="0" xfId="0" applyFont="1" applyFill="1" applyAlignment="1">
      <alignment vertical="center"/>
    </xf>
    <xf numFmtId="0" fontId="50" fillId="3" borderId="0" xfId="0" applyFont="1" applyFill="1"/>
    <xf numFmtId="0" fontId="56" fillId="0" borderId="0" xfId="0" applyFont="1"/>
    <xf numFmtId="0" fontId="59" fillId="0" borderId="0" xfId="0" applyFont="1" applyAlignment="1">
      <alignment horizontal="justify" vertical="center" wrapText="1" readingOrder="1"/>
    </xf>
    <xf numFmtId="0" fontId="61" fillId="0" borderId="0" xfId="0" applyFont="1" applyAlignment="1">
      <alignment vertical="center"/>
    </xf>
    <xf numFmtId="0" fontId="53" fillId="0" borderId="0" xfId="0" pivotButton="1" applyFont="1"/>
    <xf numFmtId="0" fontId="61" fillId="0" borderId="0" xfId="0" applyFont="1"/>
    <xf numFmtId="0" fontId="62" fillId="0" borderId="0" xfId="0" applyFont="1"/>
    <xf numFmtId="0" fontId="50" fillId="0" borderId="0" xfId="0" applyFont="1"/>
    <xf numFmtId="0" fontId="60" fillId="3" borderId="0" xfId="0" applyFont="1" applyFill="1" applyAlignment="1">
      <alignment horizontal="left" vertical="center"/>
    </xf>
    <xf numFmtId="0" fontId="64" fillId="0" borderId="32" xfId="0" applyFont="1" applyBorder="1" applyAlignment="1">
      <alignment horizontal="center" vertical="center" wrapText="1"/>
    </xf>
    <xf numFmtId="0" fontId="65" fillId="6" borderId="32" xfId="0" applyFont="1" applyFill="1" applyBorder="1" applyAlignment="1">
      <alignment horizontal="center" vertical="center" wrapText="1" readingOrder="1"/>
    </xf>
    <xf numFmtId="0" fontId="66" fillId="5" borderId="32" xfId="0" applyFont="1" applyFill="1" applyBorder="1" applyAlignment="1">
      <alignment horizontal="center" vertical="center" wrapText="1" readingOrder="1"/>
    </xf>
    <xf numFmtId="0" fontId="66" fillId="0" borderId="32" xfId="0" applyFont="1" applyBorder="1" applyAlignment="1">
      <alignment horizontal="justify" vertical="center" wrapText="1" readingOrder="1"/>
    </xf>
    <xf numFmtId="9" fontId="66" fillId="0" borderId="32" xfId="0" applyNumberFormat="1" applyFont="1" applyBorder="1" applyAlignment="1">
      <alignment horizontal="center" vertical="center" wrapText="1" readingOrder="1"/>
    </xf>
    <xf numFmtId="0" fontId="66" fillId="7" borderId="32" xfId="0" applyFont="1" applyFill="1" applyBorder="1" applyAlignment="1">
      <alignment horizontal="center" vertical="center" wrapText="1" readingOrder="1"/>
    </xf>
    <xf numFmtId="0" fontId="66" fillId="4" borderId="32" xfId="0" applyFont="1" applyFill="1" applyBorder="1" applyAlignment="1">
      <alignment horizontal="center" vertical="center" wrapText="1" readingOrder="1"/>
    </xf>
    <xf numFmtId="0" fontId="66" fillId="8" borderId="32" xfId="0" applyFont="1" applyFill="1" applyBorder="1" applyAlignment="1">
      <alignment horizontal="center" vertical="center" wrapText="1" readingOrder="1"/>
    </xf>
    <xf numFmtId="0" fontId="67" fillId="9" borderId="32" xfId="0" applyFont="1" applyFill="1" applyBorder="1" applyAlignment="1">
      <alignment horizontal="center" vertical="center" wrapText="1" readingOrder="1"/>
    </xf>
    <xf numFmtId="0" fontId="8" fillId="0" borderId="0" xfId="0" applyFont="1"/>
    <xf numFmtId="0" fontId="19" fillId="3" borderId="0" xfId="0" applyFont="1" applyFill="1" applyAlignment="1">
      <alignment horizontal="center" vertical="center"/>
    </xf>
    <xf numFmtId="0" fontId="8" fillId="3" borderId="0" xfId="0" applyFont="1" applyFill="1"/>
    <xf numFmtId="0" fontId="19" fillId="2" borderId="0" xfId="0" applyFont="1" applyFill="1" applyAlignment="1">
      <alignment horizontal="center" vertical="center"/>
    </xf>
    <xf numFmtId="0" fontId="8" fillId="3" borderId="0" xfId="0" applyFont="1" applyFill="1" applyAlignment="1">
      <alignment vertical="center"/>
    </xf>
    <xf numFmtId="0" fontId="8" fillId="0" borderId="0" xfId="0" applyFont="1" applyAlignment="1">
      <alignment vertical="center"/>
    </xf>
    <xf numFmtId="0" fontId="19"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center"/>
    </xf>
    <xf numFmtId="14" fontId="22" fillId="0" borderId="2" xfId="0" applyNumberFormat="1" applyFont="1" applyBorder="1" applyAlignment="1" applyProtection="1">
      <alignment horizontal="center" vertical="center"/>
      <protection locked="0"/>
    </xf>
    <xf numFmtId="0" fontId="22" fillId="0" borderId="2" xfId="0" applyFont="1" applyBorder="1" applyAlignment="1" applyProtection="1">
      <alignment horizontal="center" vertical="top" wrapText="1"/>
      <protection locked="0"/>
    </xf>
    <xf numFmtId="0" fontId="22" fillId="0" borderId="2" xfId="0" applyFont="1" applyBorder="1" applyAlignment="1" applyProtection="1">
      <alignment horizontal="center" vertical="center"/>
      <protection locked="0"/>
    </xf>
    <xf numFmtId="0" fontId="22" fillId="0" borderId="2" xfId="0" applyFont="1" applyBorder="1" applyAlignment="1" applyProtection="1">
      <alignment horizontal="center" vertical="top" textRotation="90"/>
      <protection locked="0"/>
    </xf>
    <xf numFmtId="0" fontId="25" fillId="0" borderId="62" xfId="0" applyFont="1" applyBorder="1" applyAlignment="1">
      <alignment horizontal="justify" vertical="center" wrapText="1"/>
    </xf>
    <xf numFmtId="0" fontId="25" fillId="0" borderId="62" xfId="0" applyFont="1" applyBorder="1" applyAlignment="1">
      <alignment horizontal="center" vertical="center" wrapText="1"/>
    </xf>
    <xf numFmtId="0" fontId="70" fillId="0" borderId="4" xfId="0" applyFont="1" applyBorder="1" applyAlignment="1" applyProtection="1">
      <alignment horizontal="center" vertical="center" textRotation="90" wrapText="1"/>
      <protection hidden="1"/>
    </xf>
    <xf numFmtId="0" fontId="22" fillId="0" borderId="4" xfId="0" applyFont="1" applyBorder="1" applyAlignment="1" applyProtection="1">
      <alignment horizontal="center" vertical="center" textRotation="90"/>
      <protection locked="0"/>
    </xf>
    <xf numFmtId="0" fontId="22" fillId="0" borderId="4" xfId="0" applyFont="1" applyBorder="1" applyAlignment="1" applyProtection="1">
      <alignment vertical="center" textRotation="90"/>
      <protection locked="0"/>
    </xf>
    <xf numFmtId="0" fontId="22" fillId="0" borderId="5" xfId="0" applyFont="1" applyBorder="1" applyAlignment="1" applyProtection="1">
      <alignment vertical="center" textRotation="90"/>
      <protection locked="0"/>
    </xf>
    <xf numFmtId="9" fontId="22" fillId="0" borderId="4" xfId="0" applyNumberFormat="1" applyFont="1" applyBorder="1" applyAlignment="1" applyProtection="1">
      <alignment horizontal="center" vertical="center"/>
      <protection hidden="1"/>
    </xf>
    <xf numFmtId="9" fontId="22" fillId="0" borderId="4" xfId="0" applyNumberFormat="1" applyFont="1" applyBorder="1" applyAlignment="1" applyProtection="1">
      <alignment vertical="center"/>
      <protection hidden="1"/>
    </xf>
    <xf numFmtId="9" fontId="22" fillId="0" borderId="5" xfId="0" applyNumberFormat="1" applyFont="1" applyBorder="1" applyAlignment="1" applyProtection="1">
      <alignment vertical="center"/>
      <protection hidden="1"/>
    </xf>
    <xf numFmtId="0" fontId="70" fillId="0" borderId="4" xfId="0" applyFont="1" applyBorder="1" applyAlignment="1" applyProtection="1">
      <alignment vertical="center" textRotation="90" wrapText="1"/>
      <protection hidden="1"/>
    </xf>
    <xf numFmtId="0" fontId="70" fillId="0" borderId="5" xfId="0" applyFont="1" applyBorder="1" applyAlignment="1" applyProtection="1">
      <alignment vertical="center" textRotation="90" wrapText="1"/>
      <protection hidden="1"/>
    </xf>
    <xf numFmtId="0" fontId="70" fillId="0" borderId="4" xfId="0" applyFont="1" applyBorder="1" applyAlignment="1" applyProtection="1">
      <alignment horizontal="center" vertical="center" textRotation="90"/>
      <protection hidden="1"/>
    </xf>
    <xf numFmtId="0" fontId="70" fillId="0" borderId="4" xfId="0" applyFont="1" applyBorder="1" applyAlignment="1" applyProtection="1">
      <alignment vertical="center" textRotation="90"/>
      <protection hidden="1"/>
    </xf>
    <xf numFmtId="0" fontId="70" fillId="0" borderId="5" xfId="0" applyFont="1" applyBorder="1" applyAlignment="1" applyProtection="1">
      <alignment vertical="center" textRotation="90"/>
      <protection hidden="1"/>
    </xf>
    <xf numFmtId="9" fontId="22" fillId="0" borderId="8" xfId="0" applyNumberFormat="1" applyFont="1" applyBorder="1" applyAlignment="1" applyProtection="1">
      <alignment vertical="center"/>
      <protection hidden="1"/>
    </xf>
    <xf numFmtId="0" fontId="70" fillId="0" borderId="8" xfId="0" applyFont="1" applyBorder="1" applyAlignment="1" applyProtection="1">
      <alignment vertical="center" textRotation="90"/>
      <protection hidden="1"/>
    </xf>
    <xf numFmtId="0" fontId="22" fillId="0" borderId="8" xfId="0" applyFont="1" applyBorder="1" applyAlignment="1" applyProtection="1">
      <alignment vertical="center" textRotation="90"/>
      <protection locked="0"/>
    </xf>
    <xf numFmtId="0" fontId="70" fillId="0" borderId="8" xfId="0" applyFont="1" applyBorder="1" applyAlignment="1" applyProtection="1">
      <alignment vertical="center" textRotation="90" wrapText="1"/>
      <protection hidden="1"/>
    </xf>
    <xf numFmtId="0" fontId="22" fillId="3" borderId="0" xfId="0" applyFont="1" applyFill="1" applyAlignment="1">
      <alignment horizontal="center" vertical="center"/>
    </xf>
    <xf numFmtId="0" fontId="22" fillId="3" borderId="0" xfId="0" applyFont="1" applyFill="1" applyAlignment="1">
      <alignment horizontal="left" vertical="center"/>
    </xf>
    <xf numFmtId="0" fontId="22" fillId="3" borderId="0" xfId="0" applyFont="1" applyFill="1"/>
    <xf numFmtId="0" fontId="22" fillId="3" borderId="0" xfId="0" applyFont="1" applyFill="1" applyAlignment="1">
      <alignment horizontal="center"/>
    </xf>
    <xf numFmtId="0" fontId="22" fillId="3" borderId="0" xfId="0" applyFont="1" applyFill="1" applyAlignment="1">
      <alignment horizontal="justify" vertical="center"/>
    </xf>
    <xf numFmtId="0" fontId="70" fillId="18" borderId="2" xfId="0" applyFont="1" applyFill="1" applyBorder="1" applyAlignment="1">
      <alignment horizontal="center" vertical="center" textRotation="9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pplyProtection="1">
      <alignment vertical="center" wrapText="1"/>
      <protection locked="0"/>
    </xf>
    <xf numFmtId="0" fontId="22" fillId="0" borderId="4" xfId="0" applyFont="1" applyBorder="1" applyAlignment="1" applyProtection="1">
      <alignment horizontal="center" vertical="center"/>
      <protection hidden="1"/>
    </xf>
    <xf numFmtId="164" fontId="22" fillId="0" borderId="2" xfId="1" applyNumberFormat="1" applyFont="1" applyBorder="1" applyAlignment="1">
      <alignment horizontal="center" vertical="center"/>
    </xf>
    <xf numFmtId="0" fontId="22" fillId="0" borderId="2" xfId="0" applyFont="1" applyBorder="1" applyAlignment="1" applyProtection="1">
      <alignment horizontal="center" vertical="center" wrapText="1"/>
      <protection locked="0"/>
    </xf>
    <xf numFmtId="0" fontId="22" fillId="0" borderId="8" xfId="0" applyFont="1" applyBorder="1" applyAlignment="1">
      <alignment horizontal="center" vertical="center"/>
    </xf>
    <xf numFmtId="0" fontId="22" fillId="0" borderId="2" xfId="0" applyFont="1" applyBorder="1" applyAlignment="1" applyProtection="1">
      <alignment horizontal="justify" vertical="center"/>
      <protection locked="0"/>
    </xf>
    <xf numFmtId="0" fontId="22" fillId="0" borderId="2" xfId="0" applyFont="1" applyBorder="1" applyAlignment="1" applyProtection="1">
      <alignment horizontal="center" vertical="top"/>
      <protection hidden="1"/>
    </xf>
    <xf numFmtId="9" fontId="22" fillId="0" borderId="2" xfId="0" applyNumberFormat="1" applyFont="1" applyBorder="1" applyAlignment="1" applyProtection="1">
      <alignment horizontal="center" vertical="top"/>
      <protection hidden="1"/>
    </xf>
    <xf numFmtId="164" fontId="22" fillId="0" borderId="2" xfId="1" applyNumberFormat="1" applyFont="1" applyBorder="1" applyAlignment="1">
      <alignment horizontal="center" vertical="top"/>
    </xf>
    <xf numFmtId="9" fontId="22" fillId="0" borderId="4" xfId="0" applyNumberFormat="1" applyFont="1" applyBorder="1" applyAlignment="1" applyProtection="1">
      <alignment horizontal="center" vertical="top"/>
      <protection hidden="1"/>
    </xf>
    <xf numFmtId="0" fontId="70" fillId="0" borderId="2" xfId="0" applyFont="1" applyBorder="1" applyAlignment="1" applyProtection="1">
      <alignment horizontal="center" vertical="top" textRotation="90" wrapText="1"/>
      <protection hidden="1"/>
    </xf>
    <xf numFmtId="0" fontId="70" fillId="0" borderId="2" xfId="0" applyFont="1" applyBorder="1" applyAlignment="1" applyProtection="1">
      <alignment horizontal="center" vertical="top" textRotation="90"/>
      <protection hidden="1"/>
    </xf>
    <xf numFmtId="0" fontId="22" fillId="0" borderId="4" xfId="0" applyFont="1" applyBorder="1" applyAlignment="1" applyProtection="1">
      <alignment horizontal="center" vertical="top" textRotation="90"/>
      <protection locked="0"/>
    </xf>
    <xf numFmtId="0" fontId="22" fillId="0" borderId="2" xfId="0" applyFont="1" applyBorder="1" applyAlignment="1">
      <alignment horizontal="center" vertical="top"/>
    </xf>
    <xf numFmtId="0" fontId="22" fillId="0" borderId="2" xfId="0" applyFont="1" applyBorder="1" applyAlignment="1" applyProtection="1">
      <alignment horizontal="center" vertical="top"/>
      <protection locked="0"/>
    </xf>
    <xf numFmtId="14" fontId="22" fillId="0" borderId="2" xfId="0" applyNumberFormat="1" applyFont="1" applyBorder="1" applyAlignment="1" applyProtection="1">
      <alignment horizontal="center" vertical="top"/>
      <protection locked="0"/>
    </xf>
    <xf numFmtId="0" fontId="22" fillId="0" borderId="2" xfId="0" applyFont="1" applyBorder="1" applyAlignment="1" applyProtection="1">
      <alignment horizontal="justify" vertical="center" wrapText="1"/>
      <protection locked="0"/>
    </xf>
    <xf numFmtId="0" fontId="22" fillId="0" borderId="5" xfId="0" applyFont="1" applyBorder="1" applyAlignment="1">
      <alignment horizontal="center" vertical="center"/>
    </xf>
    <xf numFmtId="0" fontId="22" fillId="3" borderId="2" xfId="0" applyFont="1" applyFill="1" applyBorder="1" applyAlignment="1" applyProtection="1">
      <alignment horizontal="justify" vertical="center" wrapText="1"/>
      <protection locked="0"/>
    </xf>
    <xf numFmtId="0" fontId="22" fillId="0" borderId="2" xfId="0" applyFont="1" applyBorder="1" applyAlignment="1" applyProtection="1">
      <alignment horizontal="center" vertical="center"/>
      <protection hidden="1"/>
    </xf>
    <xf numFmtId="0" fontId="22" fillId="0" borderId="2" xfId="0" applyFont="1" applyBorder="1" applyAlignment="1" applyProtection="1">
      <alignment horizontal="center" vertical="center" textRotation="90"/>
      <protection locked="0"/>
    </xf>
    <xf numFmtId="9" fontId="22" fillId="0" borderId="2" xfId="0" applyNumberFormat="1" applyFont="1" applyBorder="1" applyAlignment="1" applyProtection="1">
      <alignment horizontal="center" vertical="center"/>
      <protection hidden="1"/>
    </xf>
    <xf numFmtId="0" fontId="70" fillId="0" borderId="2" xfId="0" applyFont="1" applyBorder="1" applyAlignment="1" applyProtection="1">
      <alignment horizontal="center" vertical="center" textRotation="90" wrapText="1"/>
      <protection hidden="1"/>
    </xf>
    <xf numFmtId="0" fontId="70" fillId="0" borderId="2" xfId="0" applyFont="1" applyBorder="1" applyAlignment="1" applyProtection="1">
      <alignment horizontal="center" vertical="center" textRotation="90"/>
      <protection hidden="1"/>
    </xf>
    <xf numFmtId="0" fontId="22" fillId="0" borderId="4" xfId="0" applyFont="1" applyBorder="1" applyAlignment="1" applyProtection="1">
      <alignment vertical="center"/>
      <protection hidden="1"/>
    </xf>
    <xf numFmtId="0" fontId="22" fillId="0" borderId="5" xfId="0" applyFont="1" applyBorder="1" applyAlignment="1" applyProtection="1">
      <alignment vertical="center" wrapText="1"/>
      <protection locked="0"/>
    </xf>
    <xf numFmtId="0" fontId="22" fillId="0" borderId="8" xfId="0" applyFont="1" applyBorder="1" applyAlignment="1" applyProtection="1">
      <alignment vertical="center"/>
      <protection hidden="1"/>
    </xf>
    <xf numFmtId="0" fontId="22" fillId="0" borderId="5" xfId="0" applyFont="1" applyBorder="1" applyAlignment="1" applyProtection="1">
      <alignment vertical="center"/>
      <protection hidden="1"/>
    </xf>
    <xf numFmtId="164" fontId="22" fillId="0" borderId="2" xfId="1" applyNumberFormat="1" applyFont="1" applyFill="1" applyBorder="1" applyAlignment="1">
      <alignment horizontal="center" vertical="center"/>
    </xf>
    <xf numFmtId="0" fontId="22" fillId="0" borderId="6" xfId="0" applyFont="1" applyBorder="1" applyAlignment="1">
      <alignment horizontal="center" vertical="center"/>
    </xf>
    <xf numFmtId="0" fontId="57" fillId="0" borderId="55" xfId="0" applyFont="1" applyBorder="1" applyAlignment="1">
      <alignment vertical="center" wrapText="1" readingOrder="1"/>
    </xf>
    <xf numFmtId="0" fontId="57" fillId="0" borderId="60" xfId="0" applyFont="1" applyBorder="1" applyAlignment="1">
      <alignment vertical="center" wrapText="1" readingOrder="1"/>
    </xf>
    <xf numFmtId="0" fontId="57" fillId="0" borderId="56" xfId="0" applyFont="1" applyBorder="1" applyAlignment="1">
      <alignment vertical="center" wrapText="1" readingOrder="1"/>
    </xf>
    <xf numFmtId="0" fontId="69" fillId="0" borderId="2" xfId="0" applyFont="1" applyBorder="1" applyAlignment="1" applyProtection="1">
      <alignment horizontal="center" vertical="center" wrapText="1"/>
      <protection locked="0"/>
    </xf>
    <xf numFmtId="0" fontId="19" fillId="0" borderId="0" xfId="0" applyFont="1"/>
    <xf numFmtId="17" fontId="19" fillId="0" borderId="0" xfId="0" applyNumberFormat="1" applyFont="1" applyAlignment="1">
      <alignment horizontal="center" vertical="center"/>
    </xf>
    <xf numFmtId="0" fontId="40" fillId="3" borderId="32" xfId="0" applyFont="1" applyFill="1" applyBorder="1" applyAlignment="1">
      <alignment horizontal="left" vertical="center" wrapText="1"/>
    </xf>
    <xf numFmtId="0" fontId="41" fillId="3" borderId="32" xfId="2" applyFont="1" applyFill="1" applyBorder="1" applyAlignment="1">
      <alignment horizontal="justify" vertical="center" wrapText="1"/>
    </xf>
    <xf numFmtId="0" fontId="40" fillId="3" borderId="32" xfId="3" applyFont="1" applyFill="1" applyBorder="1" applyAlignment="1">
      <alignment horizontal="left" vertical="top" wrapText="1" readingOrder="1"/>
    </xf>
    <xf numFmtId="0" fontId="35" fillId="0" borderId="32" xfId="2" quotePrefix="1" applyFont="1" applyBorder="1" applyAlignment="1">
      <alignment horizontal="left" vertical="center" wrapText="1"/>
    </xf>
    <xf numFmtId="0" fontId="37"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5" fillId="3" borderId="32" xfId="2" quotePrefix="1" applyFont="1" applyFill="1" applyBorder="1" applyAlignment="1">
      <alignment horizontal="left" vertical="top" wrapText="1"/>
    </xf>
    <xf numFmtId="0" fontId="39" fillId="3" borderId="32" xfId="2" quotePrefix="1" applyFont="1" applyFill="1" applyBorder="1" applyAlignment="1">
      <alignment horizontal="center" vertical="top" wrapText="1"/>
    </xf>
    <xf numFmtId="0" fontId="40" fillId="15" borderId="32" xfId="3" applyFont="1" applyFill="1" applyBorder="1" applyAlignment="1">
      <alignment horizontal="center" vertical="center" wrapText="1"/>
    </xf>
    <xf numFmtId="0" fontId="40"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5" fillId="3" borderId="55" xfId="2" applyFont="1" applyFill="1" applyBorder="1" applyAlignment="1">
      <alignment horizontal="center"/>
    </xf>
    <xf numFmtId="0" fontId="35" fillId="3" borderId="60" xfId="2" applyFont="1" applyFill="1" applyBorder="1" applyAlignment="1">
      <alignment horizontal="center"/>
    </xf>
    <xf numFmtId="0" fontId="35" fillId="3" borderId="56" xfId="2" applyFont="1" applyFill="1" applyBorder="1" applyAlignment="1">
      <alignment horizontal="center"/>
    </xf>
    <xf numFmtId="0" fontId="0" fillId="3" borderId="32" xfId="0" applyFill="1" applyBorder="1" applyAlignment="1">
      <alignment horizontal="center"/>
    </xf>
    <xf numFmtId="0" fontId="51" fillId="3" borderId="32" xfId="0" applyFont="1" applyFill="1" applyBorder="1" applyAlignment="1">
      <alignment horizontal="center" vertical="center"/>
    </xf>
    <xf numFmtId="0" fontId="0" fillId="3" borderId="32" xfId="0" applyFill="1" applyBorder="1" applyAlignment="1">
      <alignment horizontal="center" vertical="center"/>
    </xf>
    <xf numFmtId="0" fontId="36" fillId="15" borderId="32" xfId="2" applyFont="1" applyFill="1" applyBorder="1" applyAlignment="1">
      <alignment horizontal="center" vertical="center" wrapText="1"/>
    </xf>
    <xf numFmtId="0" fontId="36" fillId="14" borderId="6" xfId="0" applyFont="1" applyFill="1" applyBorder="1" applyAlignment="1">
      <alignment horizontal="left" vertical="center"/>
    </xf>
    <xf numFmtId="0" fontId="36" fillId="14" borderId="7" xfId="0" applyFont="1" applyFill="1" applyBorder="1" applyAlignment="1">
      <alignment horizontal="left" vertical="center"/>
    </xf>
    <xf numFmtId="0" fontId="71" fillId="14" borderId="27" xfId="0" applyFont="1" applyFill="1" applyBorder="1" applyAlignment="1">
      <alignment horizontal="center" vertical="center" wrapText="1"/>
    </xf>
    <xf numFmtId="0" fontId="71" fillId="14" borderId="28" xfId="0" applyFont="1" applyFill="1" applyBorder="1" applyAlignment="1">
      <alignment horizontal="center" vertical="center" wrapText="1"/>
    </xf>
    <xf numFmtId="0" fontId="71" fillId="14" borderId="29" xfId="0" applyFont="1" applyFill="1" applyBorder="1" applyAlignment="1">
      <alignment horizontal="center" vertical="center" wrapText="1"/>
    </xf>
    <xf numFmtId="0" fontId="71" fillId="14" borderId="9" xfId="0" applyFont="1" applyFill="1" applyBorder="1" applyAlignment="1">
      <alignment horizontal="center" vertical="center" wrapText="1"/>
    </xf>
    <xf numFmtId="0" fontId="71" fillId="14" borderId="0" xfId="0" applyFont="1" applyFill="1" applyAlignment="1">
      <alignment horizontal="center" vertical="center" wrapText="1"/>
    </xf>
    <xf numFmtId="0" fontId="71" fillId="14" borderId="47" xfId="0" applyFont="1" applyFill="1" applyBorder="1" applyAlignment="1">
      <alignment horizontal="center" vertical="center" wrapText="1"/>
    </xf>
    <xf numFmtId="0" fontId="71" fillId="14" borderId="3" xfId="0" applyFont="1" applyFill="1" applyBorder="1" applyAlignment="1">
      <alignment horizontal="center" vertical="center" wrapText="1"/>
    </xf>
    <xf numFmtId="0" fontId="71" fillId="14" borderId="30" xfId="0" applyFont="1" applyFill="1" applyBorder="1" applyAlignment="1">
      <alignment horizontal="center" vertical="center" wrapText="1"/>
    </xf>
    <xf numFmtId="0" fontId="71" fillId="14" borderId="31" xfId="0" applyFont="1" applyFill="1" applyBorder="1" applyAlignment="1">
      <alignment horizontal="center" vertical="center" wrapText="1"/>
    </xf>
    <xf numFmtId="9" fontId="22" fillId="0" borderId="4" xfId="0" applyNumberFormat="1" applyFont="1" applyBorder="1" applyAlignment="1" applyProtection="1">
      <alignment horizontal="center" vertical="top" wrapText="1"/>
      <protection locked="0"/>
    </xf>
    <xf numFmtId="9" fontId="22" fillId="0" borderId="8" xfId="0" applyNumberFormat="1" applyFont="1" applyBorder="1" applyAlignment="1" applyProtection="1">
      <alignment horizontal="center" vertical="top" wrapText="1"/>
      <protection locked="0"/>
    </xf>
    <xf numFmtId="9" fontId="22" fillId="0" borderId="5" xfId="0" applyNumberFormat="1" applyFont="1" applyBorder="1" applyAlignment="1" applyProtection="1">
      <alignment horizontal="center" vertical="top" wrapText="1"/>
      <protection locked="0"/>
    </xf>
    <xf numFmtId="9" fontId="22" fillId="0" borderId="4" xfId="0" applyNumberFormat="1" applyFont="1" applyBorder="1" applyAlignment="1" applyProtection="1">
      <alignment horizontal="center" vertical="top" wrapText="1"/>
      <protection hidden="1"/>
    </xf>
    <xf numFmtId="9" fontId="22" fillId="0" borderId="8" xfId="0" applyNumberFormat="1" applyFont="1" applyBorder="1" applyAlignment="1" applyProtection="1">
      <alignment horizontal="center" vertical="top" wrapText="1"/>
      <protection hidden="1"/>
    </xf>
    <xf numFmtId="9" fontId="22" fillId="0" borderId="5" xfId="0" applyNumberFormat="1" applyFont="1" applyBorder="1" applyAlignment="1" applyProtection="1">
      <alignment horizontal="center" vertical="top" wrapText="1"/>
      <protection hidden="1"/>
    </xf>
    <xf numFmtId="0" fontId="70" fillId="0" borderId="4" xfId="0" applyFont="1" applyBorder="1" applyAlignment="1" applyProtection="1">
      <alignment horizontal="center" vertical="top" wrapText="1"/>
      <protection hidden="1"/>
    </xf>
    <xf numFmtId="0" fontId="70" fillId="0" borderId="8" xfId="0" applyFont="1" applyBorder="1" applyAlignment="1" applyProtection="1">
      <alignment horizontal="center" vertical="top" wrapText="1"/>
      <protection hidden="1"/>
    </xf>
    <xf numFmtId="0" fontId="70" fillId="0" borderId="5" xfId="0" applyFont="1" applyBorder="1" applyAlignment="1" applyProtection="1">
      <alignment horizontal="center" vertical="top" wrapText="1"/>
      <protection hidden="1"/>
    </xf>
    <xf numFmtId="0" fontId="70" fillId="0" borderId="4" xfId="0" applyFont="1" applyBorder="1" applyAlignment="1" applyProtection="1">
      <alignment horizontal="center" vertical="top"/>
      <protection hidden="1"/>
    </xf>
    <xf numFmtId="0" fontId="70" fillId="0" borderId="8" xfId="0" applyFont="1" applyBorder="1" applyAlignment="1" applyProtection="1">
      <alignment horizontal="center" vertical="top"/>
      <protection hidden="1"/>
    </xf>
    <xf numFmtId="0" fontId="70" fillId="0" borderId="5" xfId="0" applyFont="1" applyBorder="1" applyAlignment="1" applyProtection="1">
      <alignment horizontal="center" vertical="top"/>
      <protection hidden="1"/>
    </xf>
    <xf numFmtId="0" fontId="70" fillId="20" borderId="4" xfId="0" applyFont="1" applyFill="1" applyBorder="1" applyAlignment="1">
      <alignment horizontal="center" vertical="center" wrapText="1"/>
    </xf>
    <xf numFmtId="0" fontId="70" fillId="20" borderId="5" xfId="0" applyFont="1" applyFill="1" applyBorder="1" applyAlignment="1">
      <alignment horizontal="center" vertical="center" wrapText="1"/>
    </xf>
    <xf numFmtId="0" fontId="70" fillId="18" borderId="6" xfId="0" applyFont="1" applyFill="1" applyBorder="1" applyAlignment="1">
      <alignment horizontal="center" vertical="center"/>
    </xf>
    <xf numFmtId="0" fontId="70" fillId="18" borderId="10" xfId="0" applyFont="1" applyFill="1" applyBorder="1" applyAlignment="1">
      <alignment horizontal="center" vertical="center"/>
    </xf>
    <xf numFmtId="0" fontId="70" fillId="18" borderId="7" xfId="0" applyFont="1" applyFill="1" applyBorder="1" applyAlignment="1">
      <alignment horizontal="center" vertical="center"/>
    </xf>
    <xf numFmtId="0" fontId="70" fillId="19" borderId="6" xfId="0" applyFont="1" applyFill="1" applyBorder="1" applyAlignment="1">
      <alignment horizontal="center" vertical="center"/>
    </xf>
    <xf numFmtId="0" fontId="70" fillId="19" borderId="10" xfId="0" applyFont="1" applyFill="1" applyBorder="1" applyAlignment="1">
      <alignment horizontal="center" vertical="center"/>
    </xf>
    <xf numFmtId="0" fontId="70" fillId="19" borderId="7" xfId="0" applyFont="1" applyFill="1" applyBorder="1" applyAlignment="1">
      <alignment horizontal="center" vertical="center"/>
    </xf>
    <xf numFmtId="0" fontId="70" fillId="20" borderId="6" xfId="0" applyFont="1" applyFill="1" applyBorder="1" applyAlignment="1">
      <alignment horizontal="center" vertical="center"/>
    </xf>
    <xf numFmtId="0" fontId="70" fillId="20" borderId="10" xfId="0" applyFont="1" applyFill="1" applyBorder="1" applyAlignment="1">
      <alignment horizontal="center" vertical="center"/>
    </xf>
    <xf numFmtId="0" fontId="70" fillId="20" borderId="7" xfId="0" applyFont="1" applyFill="1" applyBorder="1" applyAlignment="1">
      <alignment horizontal="center" vertical="center"/>
    </xf>
    <xf numFmtId="9" fontId="22" fillId="0" borderId="4" xfId="0" applyNumberFormat="1" applyFont="1" applyBorder="1" applyAlignment="1" applyProtection="1">
      <alignment horizontal="center" vertical="center" wrapText="1"/>
      <protection hidden="1"/>
    </xf>
    <xf numFmtId="9" fontId="22" fillId="0" borderId="8" xfId="0" applyNumberFormat="1" applyFont="1" applyBorder="1" applyAlignment="1" applyProtection="1">
      <alignment horizontal="center" vertical="center" wrapText="1"/>
      <protection hidden="1"/>
    </xf>
    <xf numFmtId="9" fontId="22" fillId="0" borderId="5" xfId="0" applyNumberFormat="1" applyFont="1" applyBorder="1" applyAlignment="1" applyProtection="1">
      <alignment horizontal="center" vertical="center" wrapText="1"/>
      <protection hidden="1"/>
    </xf>
    <xf numFmtId="0" fontId="70" fillId="0" borderId="4" xfId="0" applyFont="1" applyBorder="1" applyAlignment="1" applyProtection="1">
      <alignment horizontal="center" vertical="center"/>
      <protection hidden="1"/>
    </xf>
    <xf numFmtId="0" fontId="70" fillId="0" borderId="8" xfId="0" applyFont="1" applyBorder="1" applyAlignment="1" applyProtection="1">
      <alignment horizontal="center" vertical="center"/>
      <protection hidden="1"/>
    </xf>
    <xf numFmtId="0" fontId="70" fillId="0" borderId="5" xfId="0" applyFont="1" applyBorder="1" applyAlignment="1" applyProtection="1">
      <alignment horizontal="center" vertical="center"/>
      <protection hidden="1"/>
    </xf>
    <xf numFmtId="9" fontId="22" fillId="0" borderId="4" xfId="0" applyNumberFormat="1" applyFont="1" applyBorder="1" applyAlignment="1" applyProtection="1">
      <alignment horizontal="center" vertical="center" wrapText="1"/>
      <protection locked="0"/>
    </xf>
    <xf numFmtId="9" fontId="22" fillId="0" borderId="8" xfId="0" applyNumberFormat="1" applyFont="1" applyBorder="1" applyAlignment="1" applyProtection="1">
      <alignment horizontal="center" vertical="center" wrapText="1"/>
      <protection locked="0"/>
    </xf>
    <xf numFmtId="9" fontId="22" fillId="0" borderId="5" xfId="0" applyNumberFormat="1" applyFont="1" applyBorder="1" applyAlignment="1" applyProtection="1">
      <alignment horizontal="center" vertical="center" wrapText="1"/>
      <protection locked="0"/>
    </xf>
    <xf numFmtId="0" fontId="70" fillId="0" borderId="4" xfId="0" applyFont="1" applyBorder="1" applyAlignment="1" applyProtection="1">
      <alignment horizontal="center" vertical="center" wrapText="1"/>
      <protection hidden="1"/>
    </xf>
    <xf numFmtId="0" fontId="70" fillId="0" borderId="8" xfId="0" applyFont="1" applyBorder="1" applyAlignment="1" applyProtection="1">
      <alignment horizontal="center" vertical="center" wrapText="1"/>
      <protection hidden="1"/>
    </xf>
    <xf numFmtId="0" fontId="70" fillId="0" borderId="5" xfId="0" applyFont="1" applyBorder="1" applyAlignment="1" applyProtection="1">
      <alignment horizontal="center" vertical="center" wrapText="1"/>
      <protection hidden="1"/>
    </xf>
    <xf numFmtId="0" fontId="69" fillId="3" borderId="4" xfId="0" applyFont="1" applyFill="1" applyBorder="1" applyAlignment="1" applyProtection="1">
      <alignment horizontal="center" vertical="center" wrapText="1"/>
      <protection locked="0"/>
    </xf>
    <xf numFmtId="0" fontId="69" fillId="3" borderId="8" xfId="0" applyFont="1" applyFill="1" applyBorder="1" applyAlignment="1" applyProtection="1">
      <alignment horizontal="center" vertical="center" wrapText="1"/>
      <protection locked="0"/>
    </xf>
    <xf numFmtId="0" fontId="69" fillId="3" borderId="5"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9" borderId="4"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protection locked="0"/>
    </xf>
    <xf numFmtId="0" fontId="22" fillId="9" borderId="5" xfId="0" applyFont="1" applyFill="1" applyBorder="1" applyAlignment="1" applyProtection="1">
      <alignment horizontal="center" vertical="center"/>
      <protection locked="0"/>
    </xf>
    <xf numFmtId="0" fontId="22" fillId="0" borderId="4"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0" xfId="0" applyFont="1" applyFill="1" applyAlignment="1">
      <alignment horizontal="center" vertical="center"/>
    </xf>
    <xf numFmtId="0" fontId="19" fillId="3" borderId="47"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22" fillId="0" borderId="4" xfId="0" applyFont="1" applyBorder="1" applyAlignment="1" applyProtection="1">
      <alignment horizontal="center" vertical="top" wrapText="1"/>
      <protection locked="0"/>
    </xf>
    <xf numFmtId="0" fontId="22" fillId="0" borderId="8" xfId="0" applyFont="1" applyBorder="1" applyAlignment="1" applyProtection="1">
      <alignment horizontal="center" vertical="top" wrapText="1"/>
      <protection locked="0"/>
    </xf>
    <xf numFmtId="0" fontId="22" fillId="0" borderId="5" xfId="0" applyFont="1" applyBorder="1" applyAlignment="1" applyProtection="1">
      <alignment horizontal="center" vertical="top" wrapText="1"/>
      <protection locked="0"/>
    </xf>
    <xf numFmtId="0" fontId="69" fillId="0" borderId="4" xfId="0" applyFont="1" applyBorder="1" applyAlignment="1" applyProtection="1">
      <alignment horizontal="center" vertical="top" wrapText="1"/>
      <protection locked="0"/>
    </xf>
    <xf numFmtId="0" fontId="69" fillId="0" borderId="8" xfId="0" applyFont="1" applyBorder="1" applyAlignment="1" applyProtection="1">
      <alignment horizontal="center" vertical="top" wrapText="1"/>
      <protection locked="0"/>
    </xf>
    <xf numFmtId="0" fontId="69" fillId="0" borderId="5" xfId="0" applyFont="1" applyBorder="1" applyAlignment="1" applyProtection="1">
      <alignment horizontal="center" vertical="top" wrapText="1"/>
      <protection locked="0"/>
    </xf>
    <xf numFmtId="0" fontId="70" fillId="16" borderId="6" xfId="0" applyFont="1" applyFill="1" applyBorder="1" applyAlignment="1">
      <alignment horizontal="center" vertical="center"/>
    </xf>
    <xf numFmtId="0" fontId="70" fillId="16" borderId="10" xfId="0" applyFont="1" applyFill="1" applyBorder="1" applyAlignment="1">
      <alignment horizontal="center" vertical="center"/>
    </xf>
    <xf numFmtId="0" fontId="70" fillId="16" borderId="7" xfId="0" applyFont="1" applyFill="1" applyBorder="1" applyAlignment="1">
      <alignment horizontal="center" vertical="center"/>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67" xfId="0" applyFont="1" applyBorder="1" applyAlignment="1">
      <alignment horizontal="center" vertical="center" wrapText="1"/>
    </xf>
    <xf numFmtId="0" fontId="69" fillId="0" borderId="66" xfId="0" applyFont="1" applyBorder="1" applyAlignment="1">
      <alignment horizontal="center" vertical="center" wrapText="1"/>
    </xf>
    <xf numFmtId="0" fontId="69" fillId="0" borderId="61" xfId="0" applyFont="1" applyBorder="1" applyAlignment="1">
      <alignment horizontal="center" vertical="center" wrapText="1"/>
    </xf>
    <xf numFmtId="0" fontId="69"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2" fillId="0" borderId="4" xfId="0" applyFont="1" applyBorder="1" applyAlignment="1">
      <alignment horizontal="center" vertical="center" textRotation="90"/>
    </xf>
    <xf numFmtId="0" fontId="22" fillId="0" borderId="8" xfId="0" applyFont="1" applyBorder="1" applyAlignment="1">
      <alignment horizontal="center" vertical="center" textRotation="90"/>
    </xf>
    <xf numFmtId="0" fontId="22" fillId="0" borderId="5" xfId="0" applyFont="1" applyBorder="1" applyAlignment="1">
      <alignment horizontal="center" vertical="center" textRotation="90"/>
    </xf>
    <xf numFmtId="0" fontId="22" fillId="0" borderId="6" xfId="0" applyFont="1" applyBorder="1" applyAlignment="1">
      <alignment horizontal="left" vertical="center" wrapText="1"/>
    </xf>
    <xf numFmtId="0" fontId="22" fillId="0" borderId="10" xfId="0" applyFont="1" applyBorder="1" applyAlignment="1">
      <alignment horizontal="left" vertical="center" wrapText="1"/>
    </xf>
    <xf numFmtId="0" fontId="22" fillId="0" borderId="7" xfId="0" applyFont="1" applyBorder="1" applyAlignment="1">
      <alignment horizontal="left" vertical="center" wrapText="1"/>
    </xf>
    <xf numFmtId="0" fontId="22" fillId="9" borderId="4" xfId="0" applyFont="1" applyFill="1" applyBorder="1" applyAlignment="1" applyProtection="1">
      <alignment horizontal="center" vertical="top"/>
      <protection locked="0"/>
    </xf>
    <xf numFmtId="0" fontId="22" fillId="9" borderId="8" xfId="0" applyFont="1" applyFill="1" applyBorder="1" applyAlignment="1" applyProtection="1">
      <alignment horizontal="center" vertical="top"/>
      <protection locked="0"/>
    </xf>
    <xf numFmtId="0" fontId="22" fillId="9" borderId="5" xfId="0" applyFont="1" applyFill="1" applyBorder="1" applyAlignment="1" applyProtection="1">
      <alignment horizontal="center" vertical="top"/>
      <protection locked="0"/>
    </xf>
    <xf numFmtId="0" fontId="69" fillId="9" borderId="4" xfId="0" applyFont="1" applyFill="1" applyBorder="1" applyAlignment="1" applyProtection="1">
      <alignment horizontal="center" vertical="center"/>
      <protection locked="0"/>
    </xf>
    <xf numFmtId="0" fontId="69" fillId="9" borderId="8" xfId="0" applyFont="1" applyFill="1" applyBorder="1" applyAlignment="1" applyProtection="1">
      <alignment horizontal="center" vertical="center"/>
      <protection locked="0"/>
    </xf>
    <xf numFmtId="0" fontId="69" fillId="9" borderId="5" xfId="0" applyFont="1" applyFill="1" applyBorder="1" applyAlignment="1" applyProtection="1">
      <alignment horizontal="center" vertical="center"/>
      <protection locked="0"/>
    </xf>
    <xf numFmtId="0" fontId="70" fillId="2" borderId="6" xfId="0" applyFont="1" applyFill="1" applyBorder="1" applyAlignment="1">
      <alignment horizontal="left" vertical="center"/>
    </xf>
    <xf numFmtId="0" fontId="70" fillId="2" borderId="10" xfId="0" applyFont="1" applyFill="1" applyBorder="1" applyAlignment="1">
      <alignment horizontal="left" vertical="center"/>
    </xf>
    <xf numFmtId="0" fontId="70" fillId="2" borderId="7" xfId="0" applyFont="1" applyFill="1" applyBorder="1" applyAlignment="1">
      <alignment horizontal="left" vertical="center"/>
    </xf>
    <xf numFmtId="0" fontId="70" fillId="16" borderId="4" xfId="0" applyFont="1" applyFill="1" applyBorder="1" applyAlignment="1">
      <alignment horizontal="center" vertical="center" textRotation="90"/>
    </xf>
    <xf numFmtId="0" fontId="70" fillId="16" borderId="5" xfId="0" applyFont="1" applyFill="1" applyBorder="1" applyAlignment="1">
      <alignment horizontal="center" vertical="center" textRotation="90"/>
    </xf>
    <xf numFmtId="0" fontId="70" fillId="16" borderId="4" xfId="0" applyFont="1" applyFill="1" applyBorder="1" applyAlignment="1">
      <alignment horizontal="center" vertical="center" wrapText="1"/>
    </xf>
    <xf numFmtId="0" fontId="70" fillId="16" borderId="5" xfId="0" applyFont="1" applyFill="1" applyBorder="1" applyAlignment="1">
      <alignment horizontal="center" vertical="center" wrapText="1"/>
    </xf>
    <xf numFmtId="0" fontId="70" fillId="16" borderId="5" xfId="0" applyFont="1" applyFill="1" applyBorder="1" applyAlignment="1">
      <alignment horizontal="center" vertical="center"/>
    </xf>
    <xf numFmtId="0" fontId="70" fillId="16" borderId="2" xfId="0" applyFont="1" applyFill="1" applyBorder="1" applyAlignment="1">
      <alignment horizontal="center" vertical="center"/>
    </xf>
    <xf numFmtId="0" fontId="70" fillId="16" borderId="2" xfId="0" applyFont="1" applyFill="1" applyBorder="1" applyAlignment="1">
      <alignment horizontal="center" vertical="center" wrapText="1"/>
    </xf>
    <xf numFmtId="0" fontId="22" fillId="3" borderId="6" xfId="0" applyFont="1" applyFill="1" applyBorder="1" applyAlignment="1" applyProtection="1">
      <alignment horizontal="left" vertical="center" wrapText="1"/>
      <protection locked="0"/>
    </xf>
    <xf numFmtId="0" fontId="22" fillId="3" borderId="10"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70" fillId="17" borderId="6" xfId="0" applyFont="1" applyFill="1" applyBorder="1" applyAlignment="1">
      <alignment horizontal="center" vertical="center"/>
    </xf>
    <xf numFmtId="0" fontId="70" fillId="17" borderId="10" xfId="0" applyFont="1" applyFill="1" applyBorder="1" applyAlignment="1">
      <alignment horizontal="center" vertical="center"/>
    </xf>
    <xf numFmtId="0" fontId="70" fillId="17" borderId="7" xfId="0" applyFont="1" applyFill="1" applyBorder="1" applyAlignment="1">
      <alignment horizontal="center" vertical="center"/>
    </xf>
    <xf numFmtId="0" fontId="70" fillId="19" borderId="4" xfId="0" applyFont="1" applyFill="1" applyBorder="1" applyAlignment="1">
      <alignment horizontal="center" vertical="center" textRotation="90" wrapText="1"/>
    </xf>
    <xf numFmtId="0" fontId="70" fillId="19" borderId="5" xfId="0" applyFont="1" applyFill="1" applyBorder="1" applyAlignment="1">
      <alignment horizontal="center" vertical="center" textRotation="90" wrapText="1"/>
    </xf>
    <xf numFmtId="0" fontId="70" fillId="18" borderId="4" xfId="0" applyFont="1" applyFill="1" applyBorder="1" applyAlignment="1">
      <alignment horizontal="center" vertical="center" textRotation="90" wrapText="1"/>
    </xf>
    <xf numFmtId="0" fontId="70" fillId="18" borderId="5" xfId="0" applyFont="1" applyFill="1" applyBorder="1" applyAlignment="1">
      <alignment horizontal="center" vertical="center" textRotation="90" wrapText="1"/>
    </xf>
    <xf numFmtId="0" fontId="70" fillId="19" borderId="2" xfId="0" applyFont="1" applyFill="1" applyBorder="1" applyAlignment="1">
      <alignment horizontal="center" vertical="center" textRotation="90" wrapText="1"/>
    </xf>
    <xf numFmtId="0" fontId="70" fillId="18" borderId="2" xfId="0" applyFont="1" applyFill="1" applyBorder="1" applyAlignment="1">
      <alignment horizontal="center" vertical="center" wrapText="1"/>
    </xf>
    <xf numFmtId="0" fontId="70" fillId="17" borderId="5" xfId="0" applyFont="1" applyFill="1" applyBorder="1" applyAlignment="1">
      <alignment horizontal="center" vertical="center" wrapText="1"/>
    </xf>
    <xf numFmtId="0" fontId="70" fillId="17" borderId="2" xfId="0" applyFont="1" applyFill="1" applyBorder="1" applyAlignment="1">
      <alignment horizontal="center" vertical="center" wrapText="1"/>
    </xf>
    <xf numFmtId="0" fontId="70" fillId="17" borderId="4" xfId="0" applyFont="1" applyFill="1" applyBorder="1" applyAlignment="1">
      <alignment horizontal="center" vertical="center" wrapText="1"/>
    </xf>
    <xf numFmtId="0" fontId="70" fillId="17" borderId="9" xfId="0" applyFont="1" applyFill="1" applyBorder="1" applyAlignment="1">
      <alignment horizontal="center" vertical="center" wrapText="1"/>
    </xf>
    <xf numFmtId="0" fontId="70" fillId="17" borderId="3" xfId="0" applyFont="1" applyFill="1" applyBorder="1" applyAlignment="1">
      <alignment horizontal="center" vertical="center"/>
    </xf>
    <xf numFmtId="0" fontId="70" fillId="17" borderId="9" xfId="0" applyFont="1" applyFill="1" applyBorder="1" applyAlignment="1">
      <alignment horizontal="center" vertical="center"/>
    </xf>
    <xf numFmtId="0" fontId="70" fillId="18" borderId="4" xfId="0" applyFont="1" applyFill="1" applyBorder="1" applyAlignment="1">
      <alignment horizontal="center" vertical="center" wrapText="1"/>
    </xf>
    <xf numFmtId="0" fontId="70" fillId="18" borderId="5" xfId="0" applyFont="1" applyFill="1" applyBorder="1" applyAlignment="1">
      <alignment horizontal="center" vertical="center" wrapText="1"/>
    </xf>
    <xf numFmtId="0" fontId="70" fillId="20" borderId="2" xfId="0" applyFont="1" applyFill="1" applyBorder="1" applyAlignment="1">
      <alignment horizontal="center" vertical="center" wrapText="1"/>
    </xf>
    <xf numFmtId="0" fontId="70" fillId="17" borderId="8" xfId="0" applyFont="1" applyFill="1" applyBorder="1" applyAlignment="1">
      <alignment horizontal="center" vertical="center" wrapText="1"/>
    </xf>
    <xf numFmtId="0" fontId="22" fillId="0" borderId="4" xfId="0" applyFont="1" applyBorder="1" applyAlignment="1">
      <alignment horizontal="center" vertical="center" textRotation="90" wrapText="1"/>
    </xf>
    <xf numFmtId="0" fontId="22" fillId="0" borderId="8" xfId="0" applyFont="1" applyBorder="1" applyAlignment="1">
      <alignment horizontal="center" vertical="center" textRotation="90" wrapText="1"/>
    </xf>
    <xf numFmtId="0" fontId="22" fillId="0" borderId="5" xfId="0" applyFont="1" applyBorder="1" applyAlignment="1">
      <alignment horizontal="center" vertical="center" textRotation="90"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8" fillId="0" borderId="0" xfId="0" applyFont="1" applyAlignment="1">
      <alignment horizontal="center" vertical="center" wrapText="1"/>
    </xf>
    <xf numFmtId="0" fontId="29" fillId="11" borderId="19" xfId="0" applyFont="1" applyFill="1" applyBorder="1" applyAlignment="1">
      <alignment horizontal="center" vertical="center" wrapText="1" readingOrder="1"/>
    </xf>
    <xf numFmtId="0" fontId="29" fillId="11" borderId="20" xfId="0" applyFont="1" applyFill="1" applyBorder="1" applyAlignment="1">
      <alignment horizontal="center" vertical="center" wrapText="1" readingOrder="1"/>
    </xf>
    <xf numFmtId="0" fontId="29" fillId="11" borderId="21" xfId="0" applyFont="1" applyFill="1" applyBorder="1" applyAlignment="1">
      <alignment horizontal="center" vertical="center" wrapText="1" readingOrder="1"/>
    </xf>
    <xf numFmtId="0" fontId="29" fillId="11" borderId="22" xfId="0" applyFont="1" applyFill="1" applyBorder="1" applyAlignment="1">
      <alignment horizontal="center" vertical="center" wrapText="1" readingOrder="1"/>
    </xf>
    <xf numFmtId="0" fontId="29" fillId="11" borderId="0" xfId="0" applyFont="1" applyFill="1" applyAlignment="1">
      <alignment horizontal="center" vertical="center" wrapText="1" readingOrder="1"/>
    </xf>
    <xf numFmtId="0" fontId="29" fillId="11" borderId="23" xfId="0" applyFont="1" applyFill="1" applyBorder="1" applyAlignment="1">
      <alignment horizontal="center" vertical="center" wrapText="1" readingOrder="1"/>
    </xf>
    <xf numFmtId="0" fontId="29" fillId="11" borderId="24" xfId="0" applyFont="1" applyFill="1" applyBorder="1" applyAlignment="1">
      <alignment horizontal="center" vertical="center" wrapText="1" readingOrder="1"/>
    </xf>
    <xf numFmtId="0" fontId="29" fillId="11" borderId="25" xfId="0" applyFont="1" applyFill="1" applyBorder="1" applyAlignment="1">
      <alignment horizontal="center" vertical="center" wrapText="1" readingOrder="1"/>
    </xf>
    <xf numFmtId="0" fontId="29" fillId="11" borderId="26" xfId="0" applyFont="1" applyFill="1" applyBorder="1" applyAlignment="1">
      <alignment horizontal="center" vertical="center" wrapText="1" readingOrder="1"/>
    </xf>
    <xf numFmtId="0" fontId="30" fillId="0" borderId="11" xfId="0" applyFont="1" applyBorder="1" applyAlignment="1">
      <alignment horizontal="center" vertical="center" wrapText="1"/>
    </xf>
    <xf numFmtId="0" fontId="30" fillId="0" borderId="18" xfId="0" applyFont="1" applyBorder="1" applyAlignment="1">
      <alignment horizontal="center" vertical="center"/>
    </xf>
    <xf numFmtId="0" fontId="30" fillId="0" borderId="13" xfId="0" applyFont="1" applyBorder="1" applyAlignment="1">
      <alignment horizontal="center" vertical="center" wrapText="1"/>
    </xf>
    <xf numFmtId="0" fontId="30" fillId="0" borderId="0" xfId="0" applyFont="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29" fillId="12" borderId="19" xfId="0" applyFont="1" applyFill="1" applyBorder="1" applyAlignment="1">
      <alignment horizontal="center" vertical="center" wrapText="1" readingOrder="1"/>
    </xf>
    <xf numFmtId="0" fontId="29" fillId="12" borderId="20" xfId="0" applyFont="1" applyFill="1" applyBorder="1" applyAlignment="1">
      <alignment horizontal="center" vertical="center" wrapText="1" readingOrder="1"/>
    </xf>
    <xf numFmtId="0" fontId="29" fillId="12" borderId="21" xfId="0" applyFont="1" applyFill="1" applyBorder="1" applyAlignment="1">
      <alignment horizontal="center" vertical="center" wrapText="1" readingOrder="1"/>
    </xf>
    <xf numFmtId="0" fontId="29" fillId="12" borderId="22" xfId="0" applyFont="1" applyFill="1" applyBorder="1" applyAlignment="1">
      <alignment horizontal="center" vertical="center" wrapText="1" readingOrder="1"/>
    </xf>
    <xf numFmtId="0" fontId="29" fillId="12" borderId="0" xfId="0" applyFont="1" applyFill="1" applyAlignment="1">
      <alignment horizontal="center" vertical="center" wrapText="1" readingOrder="1"/>
    </xf>
    <xf numFmtId="0" fontId="29" fillId="12" borderId="23" xfId="0" applyFont="1" applyFill="1" applyBorder="1" applyAlignment="1">
      <alignment horizontal="center" vertical="center" wrapText="1" readingOrder="1"/>
    </xf>
    <xf numFmtId="0" fontId="29" fillId="12" borderId="24" xfId="0" applyFont="1" applyFill="1" applyBorder="1" applyAlignment="1">
      <alignment horizontal="center" vertical="center" wrapText="1" readingOrder="1"/>
    </xf>
    <xf numFmtId="0" fontId="29" fillId="12" borderId="25" xfId="0" applyFont="1" applyFill="1" applyBorder="1" applyAlignment="1">
      <alignment horizontal="center" vertical="center" wrapText="1" readingOrder="1"/>
    </xf>
    <xf numFmtId="0" fontId="29" fillId="12" borderId="26" xfId="0" applyFont="1" applyFill="1" applyBorder="1" applyAlignment="1">
      <alignment horizontal="center" vertical="center" wrapText="1" readingOrder="1"/>
    </xf>
    <xf numFmtId="0" fontId="28" fillId="0" borderId="0" xfId="0" applyFont="1" applyAlignment="1">
      <alignment horizontal="center" vertical="center" wrapText="1"/>
    </xf>
    <xf numFmtId="0" fontId="16" fillId="0" borderId="0" xfId="0" applyFont="1" applyAlignment="1">
      <alignment horizontal="center" vertical="center" wrapText="1"/>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16" xfId="0" applyFont="1" applyBorder="1" applyAlignment="1">
      <alignment horizontal="center" vertical="center"/>
    </xf>
    <xf numFmtId="0" fontId="29" fillId="5" borderId="19" xfId="0" applyFont="1" applyFill="1" applyBorder="1" applyAlignment="1">
      <alignment horizontal="center" vertical="center" wrapText="1" readingOrder="1"/>
    </xf>
    <xf numFmtId="0" fontId="29" fillId="5" borderId="20" xfId="0" applyFont="1" applyFill="1" applyBorder="1" applyAlignment="1">
      <alignment horizontal="center" vertical="center" wrapText="1" readingOrder="1"/>
    </xf>
    <xf numFmtId="0" fontId="29" fillId="5" borderId="21" xfId="0" applyFont="1" applyFill="1" applyBorder="1" applyAlignment="1">
      <alignment horizontal="center" vertical="center" wrapText="1" readingOrder="1"/>
    </xf>
    <xf numFmtId="0" fontId="29" fillId="5" borderId="22" xfId="0" applyFont="1" applyFill="1" applyBorder="1" applyAlignment="1">
      <alignment horizontal="center" vertical="center" wrapText="1" readingOrder="1"/>
    </xf>
    <xf numFmtId="0" fontId="29" fillId="5" borderId="0" xfId="0" applyFont="1" applyFill="1" applyAlignment="1">
      <alignment horizontal="center" vertical="center" wrapText="1" readingOrder="1"/>
    </xf>
    <xf numFmtId="0" fontId="29" fillId="5" borderId="23" xfId="0" applyFont="1" applyFill="1" applyBorder="1" applyAlignment="1">
      <alignment horizontal="center" vertical="center" wrapText="1" readingOrder="1"/>
    </xf>
    <xf numFmtId="0" fontId="29" fillId="5" borderId="24" xfId="0" applyFont="1" applyFill="1" applyBorder="1" applyAlignment="1">
      <alignment horizontal="center" vertical="center" wrapText="1" readingOrder="1"/>
    </xf>
    <xf numFmtId="0" fontId="29" fillId="5" borderId="25" xfId="0" applyFont="1" applyFill="1" applyBorder="1" applyAlignment="1">
      <alignment horizontal="center" vertical="center" wrapText="1" readingOrder="1"/>
    </xf>
    <xf numFmtId="0" fontId="29" fillId="5" borderId="26" xfId="0" applyFont="1" applyFill="1" applyBorder="1" applyAlignment="1">
      <alignment horizontal="center" vertical="center" wrapText="1" readingOrder="1"/>
    </xf>
    <xf numFmtId="0" fontId="29" fillId="13" borderId="19" xfId="0" applyFont="1" applyFill="1" applyBorder="1" applyAlignment="1">
      <alignment horizontal="center" vertical="center" wrapText="1" readingOrder="1"/>
    </xf>
    <xf numFmtId="0" fontId="29" fillId="13" borderId="20" xfId="0" applyFont="1" applyFill="1" applyBorder="1" applyAlignment="1">
      <alignment horizontal="center" vertical="center" wrapText="1" readingOrder="1"/>
    </xf>
    <xf numFmtId="0" fontId="29" fillId="13" borderId="21" xfId="0" applyFont="1" applyFill="1" applyBorder="1" applyAlignment="1">
      <alignment horizontal="center" vertical="center" wrapText="1" readingOrder="1"/>
    </xf>
    <xf numFmtId="0" fontId="29" fillId="13" borderId="22" xfId="0" applyFont="1" applyFill="1" applyBorder="1" applyAlignment="1">
      <alignment horizontal="center" vertical="center" wrapText="1" readingOrder="1"/>
    </xf>
    <xf numFmtId="0" fontId="29" fillId="13" borderId="0" xfId="0" applyFont="1" applyFill="1" applyAlignment="1">
      <alignment horizontal="center" vertical="center" wrapText="1" readingOrder="1"/>
    </xf>
    <xf numFmtId="0" fontId="29" fillId="13" borderId="23" xfId="0" applyFont="1" applyFill="1" applyBorder="1" applyAlignment="1">
      <alignment horizontal="center" vertical="center" wrapText="1" readingOrder="1"/>
    </xf>
    <xf numFmtId="0" fontId="29" fillId="13" borderId="24" xfId="0" applyFont="1" applyFill="1" applyBorder="1" applyAlignment="1">
      <alignment horizontal="center" vertical="center" wrapText="1" readingOrder="1"/>
    </xf>
    <xf numFmtId="0" fontId="29" fillId="13" borderId="25" xfId="0" applyFont="1" applyFill="1" applyBorder="1" applyAlignment="1">
      <alignment horizontal="center" vertical="center" wrapText="1" readingOrder="1"/>
    </xf>
    <xf numFmtId="0" fontId="29" fillId="13" borderId="26" xfId="0" applyFont="1" applyFill="1" applyBorder="1" applyAlignment="1">
      <alignment horizontal="center" vertical="center" wrapText="1" readingOrder="1"/>
    </xf>
    <xf numFmtId="0" fontId="30" fillId="0" borderId="18" xfId="0" applyFont="1" applyBorder="1" applyAlignment="1">
      <alignment horizontal="center" vertical="center" wrapText="1"/>
    </xf>
    <xf numFmtId="0" fontId="63" fillId="0" borderId="32" xfId="0" applyFont="1" applyBorder="1" applyAlignment="1">
      <alignment horizontal="center" vertical="center"/>
    </xf>
    <xf numFmtId="0" fontId="53" fillId="0" borderId="54" xfId="0" applyFont="1" applyBorder="1" applyAlignment="1">
      <alignment horizontal="center"/>
    </xf>
    <xf numFmtId="0" fontId="53" fillId="0" borderId="51" xfId="0" applyFont="1" applyBorder="1" applyAlignment="1">
      <alignment horizontal="center"/>
    </xf>
    <xf numFmtId="0" fontId="53" fillId="0" borderId="33" xfId="0" applyFont="1" applyBorder="1" applyAlignment="1">
      <alignment horizontal="center"/>
    </xf>
    <xf numFmtId="0" fontId="51" fillId="0" borderId="54" xfId="0" applyFont="1" applyBorder="1" applyAlignment="1">
      <alignment horizontal="center" vertical="center"/>
    </xf>
    <xf numFmtId="0" fontId="53" fillId="0" borderId="51" xfId="0" applyFont="1" applyBorder="1" applyAlignment="1">
      <alignment horizontal="center" vertical="center"/>
    </xf>
    <xf numFmtId="0" fontId="53" fillId="0" borderId="33" xfId="0" applyFont="1" applyBorder="1" applyAlignment="1">
      <alignment horizontal="center" vertical="center"/>
    </xf>
    <xf numFmtId="0" fontId="55" fillId="6" borderId="55" xfId="0" applyFont="1" applyFill="1" applyBorder="1" applyAlignment="1">
      <alignment horizontal="center" vertical="center" wrapText="1" readingOrder="1"/>
    </xf>
    <xf numFmtId="0" fontId="55" fillId="6" borderId="60" xfId="0" applyFont="1" applyFill="1" applyBorder="1" applyAlignment="1">
      <alignment horizontal="center" vertical="center" wrapText="1" readingOrder="1"/>
    </xf>
    <xf numFmtId="0" fontId="55" fillId="6" borderId="56" xfId="0" applyFont="1" applyFill="1" applyBorder="1" applyAlignment="1">
      <alignment horizontal="center" vertical="center" wrapText="1" readingOrder="1"/>
    </xf>
    <xf numFmtId="0" fontId="54" fillId="0" borderId="32" xfId="0" applyFont="1" applyBorder="1" applyAlignment="1">
      <alignment horizontal="center" vertical="center"/>
    </xf>
    <xf numFmtId="0" fontId="53" fillId="0" borderId="32" xfId="0" applyFont="1" applyBorder="1" applyAlignment="1">
      <alignment horizontal="center"/>
    </xf>
    <xf numFmtId="0" fontId="52" fillId="0" borderId="57" xfId="0" applyFont="1" applyBorder="1" applyAlignment="1">
      <alignment horizontal="center" vertical="center"/>
    </xf>
    <xf numFmtId="0" fontId="52" fillId="0" borderId="44" xfId="0" applyFont="1" applyBorder="1" applyAlignment="1">
      <alignment horizontal="center" vertical="center"/>
    </xf>
    <xf numFmtId="0" fontId="52" fillId="0" borderId="58" xfId="0" applyFont="1" applyBorder="1" applyAlignment="1">
      <alignment horizontal="center" vertical="center"/>
    </xf>
    <xf numFmtId="0" fontId="52" fillId="0" borderId="46" xfId="0" applyFont="1" applyBorder="1" applyAlignment="1">
      <alignment horizontal="center" vertical="center"/>
    </xf>
    <xf numFmtId="0" fontId="52" fillId="0" borderId="59" xfId="0" applyFont="1" applyBorder="1" applyAlignment="1">
      <alignment horizontal="center" vertical="center"/>
    </xf>
    <xf numFmtId="0" fontId="52" fillId="0" borderId="45" xfId="0" applyFont="1" applyBorder="1" applyAlignment="1">
      <alignment horizontal="center" vertical="center"/>
    </xf>
    <xf numFmtId="0" fontId="5" fillId="3" borderId="32" xfId="0" applyFont="1" applyFill="1" applyBorder="1" applyAlignment="1">
      <alignment horizontal="center"/>
    </xf>
    <xf numFmtId="0" fontId="27" fillId="14" borderId="15" xfId="0" applyFont="1" applyFill="1" applyBorder="1" applyAlignment="1">
      <alignment horizontal="center" vertical="center" wrapText="1" readingOrder="1"/>
    </xf>
    <xf numFmtId="0" fontId="27" fillId="14" borderId="17" xfId="0" applyFont="1" applyFill="1" applyBorder="1" applyAlignment="1">
      <alignment horizontal="center" vertical="center" wrapText="1" readingOrder="1"/>
    </xf>
    <xf numFmtId="0" fontId="27" fillId="14" borderId="16" xfId="0" applyFont="1" applyFill="1" applyBorder="1" applyAlignment="1">
      <alignment horizontal="center" vertical="center" wrapText="1" readingOrder="1"/>
    </xf>
    <xf numFmtId="0" fontId="22" fillId="3" borderId="0" xfId="0" applyFont="1" applyFill="1" applyAlignment="1">
      <alignment horizontal="justify" vertical="center" wrapText="1"/>
    </xf>
    <xf numFmtId="0" fontId="24" fillId="14" borderId="41" xfId="0" applyFont="1" applyFill="1" applyBorder="1" applyAlignment="1">
      <alignment horizontal="center" vertical="center" wrapText="1" readingOrder="1"/>
    </xf>
    <xf numFmtId="0" fontId="24" fillId="14" borderId="42" xfId="0" applyFont="1" applyFill="1" applyBorder="1" applyAlignment="1">
      <alignment horizontal="center" vertical="center" wrapText="1" readingOrder="1"/>
    </xf>
    <xf numFmtId="0" fontId="24" fillId="3" borderId="52" xfId="0" applyFont="1" applyFill="1" applyBorder="1" applyAlignment="1">
      <alignment horizontal="center" vertical="center" wrapText="1" readingOrder="1"/>
    </xf>
    <xf numFmtId="0" fontId="24" fillId="3" borderId="53" xfId="0" applyFont="1" applyFill="1" applyBorder="1" applyAlignment="1">
      <alignment horizontal="center" vertical="center" wrapText="1" readingOrder="1"/>
    </xf>
    <xf numFmtId="0" fontId="24" fillId="3" borderId="39" xfId="0" applyFont="1" applyFill="1" applyBorder="1" applyAlignment="1">
      <alignment horizontal="center" vertical="center" wrapText="1" readingOrder="1"/>
    </xf>
    <xf numFmtId="0" fontId="24" fillId="3" borderId="50" xfId="0" applyFont="1" applyFill="1" applyBorder="1" applyAlignment="1">
      <alignment horizontal="center" vertical="center" wrapText="1" readingOrder="1"/>
    </xf>
    <xf numFmtId="0" fontId="24" fillId="3" borderId="51" xfId="0" applyFont="1" applyFill="1" applyBorder="1" applyAlignment="1">
      <alignment horizontal="center" vertical="center" wrapText="1" readingOrder="1"/>
    </xf>
    <xf numFmtId="0" fontId="24" fillId="3" borderId="33" xfId="0"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1"/>
    </xf>
    <xf numFmtId="0" fontId="24" fillId="3" borderId="34" xfId="0" applyFont="1" applyFill="1" applyBorder="1" applyAlignment="1">
      <alignment horizontal="center" vertical="center" wrapText="1" readingOrder="1"/>
    </xf>
    <xf numFmtId="0" fontId="24" fillId="3" borderId="36" xfId="0" applyFont="1" applyFill="1" applyBorder="1" applyAlignment="1">
      <alignment horizontal="center" vertical="center" wrapText="1" readingOrder="1"/>
    </xf>
    <xf numFmtId="0" fontId="24"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19" fillId="0" borderId="32" xfId="0" applyFont="1" applyBorder="1" applyAlignment="1">
      <alignment horizontal="center" vertical="center" wrapText="1"/>
    </xf>
    <xf numFmtId="0" fontId="44"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5" fillId="0" borderId="49" xfId="0" applyFont="1" applyBorder="1" applyAlignment="1">
      <alignment horizontal="center" vertical="center" wrapText="1"/>
    </xf>
    <xf numFmtId="0" fontId="45" fillId="0" borderId="48" xfId="0" applyFont="1" applyBorder="1" applyAlignment="1">
      <alignment horizontal="center" vertical="center" wrapText="1"/>
    </xf>
    <xf numFmtId="0" fontId="51"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54">
    <dxf>
      <fill>
        <patternFill>
          <bgColor rgb="FFFFFF00"/>
        </patternFill>
      </fill>
    </dxf>
    <dxf>
      <fill>
        <patternFill>
          <bgColor rgb="FF92D05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383722</xdr:colOff>
      <xdr:row>0</xdr:row>
      <xdr:rowOff>0</xdr:rowOff>
    </xdr:from>
    <xdr:to>
      <xdr:col>3</xdr:col>
      <xdr:colOff>408215</xdr:colOff>
      <xdr:row>4</xdr:row>
      <xdr:rowOff>0</xdr:rowOff>
    </xdr:to>
    <xdr:pic>
      <xdr:nvPicPr>
        <xdr:cNvPr id="2" name="Imagen 1">
          <a:extLst>
            <a:ext uri="{FF2B5EF4-FFF2-40B4-BE49-F238E27FC236}">
              <a16:creationId xmlns:a16="http://schemas.microsoft.com/office/drawing/2014/main" id="{1EB3802F-07FE-C6B9-BEAC-DF77622F03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758" y="0"/>
          <a:ext cx="1344386" cy="925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01\Downloads\Mapa-Riesgos-Fiscales-2023-Jurid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x01\Downloads\Mapa-Riesgos-Fiscales-2023-ALMACEN-E-INVENT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
      <sheetName val="Mapa de Riesgos"/>
      <sheetName val="Matriz Calor Inherente"/>
      <sheetName val="Matriz Calor Residual"/>
      <sheetName val="Tabla probabilidad"/>
      <sheetName val="Tabla Impacto"/>
      <sheetName val="Tabla Valoración controles"/>
      <sheetName val="Anexo 1"/>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5">
          <cell r="C15" t="str">
            <v xml:space="preserve">     Afectación menor a 10 SMLMV .</v>
          </cell>
          <cell r="E15" t="str">
            <v xml:space="preserve">     El riesgo afecta la imagen de alguna área de la organización</v>
          </cell>
        </row>
        <row r="16">
          <cell r="C16" t="str">
            <v xml:space="preserve">     Entre 10 y 50 SMLMV </v>
          </cell>
          <cell r="E16" t="str">
            <v xml:space="preserve">     El riesgo afecta la imagen de la entidad internamente, de conocimiento general, nivel interno, de junta dircetiva y accionistas y/o de provedores</v>
          </cell>
        </row>
        <row r="17">
          <cell r="C17" t="str">
            <v xml:space="preserve">     Entre 50 y 100 SMLMV </v>
          </cell>
          <cell r="E17" t="str">
            <v xml:space="preserve">     El riesgo afecta la imagen de la entidad con algunos usuarios de relevancia frente al logro de los objetivos</v>
          </cell>
        </row>
        <row r="18">
          <cell r="C18" t="str">
            <v xml:space="preserve">     Entre 100 y 500 SMLMV </v>
          </cell>
          <cell r="E18" t="str">
            <v xml:space="preserve">     El riesgo afecta la imagen de de la entidad con efecto publicitario sostenido a nivel de sector administrativo, nivel departamental o municipal</v>
          </cell>
        </row>
        <row r="19">
          <cell r="C19" t="str">
            <v xml:space="preserve">     Mayor a 500 SMLMV </v>
          </cell>
          <cell r="E19" t="str">
            <v xml:space="preserve">     El riesgo afecta la imagen de la entidad a nivel nacional, con efecto publicitarios sostenible a nivel país</v>
          </cell>
        </row>
        <row r="225">
          <cell r="B225" t="str">
            <v>Criterios</v>
          </cell>
        </row>
        <row r="226">
          <cell r="B226" t="str">
            <v>Afectación Económica o presupuestal</v>
          </cell>
        </row>
        <row r="227">
          <cell r="B227" t="str">
            <v>Pérdida Reputacional</v>
          </cell>
          <cell r="G227" t="str">
            <v>❌</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
      <sheetName val="Mapa de Riesgos"/>
      <sheetName val="Matriz Calor Inherente"/>
      <sheetName val="Matriz Calor Residual"/>
      <sheetName val="Tabla probabilidad"/>
      <sheetName val="Tabla Impacto"/>
      <sheetName val="Tabla Valoración controles"/>
      <sheetName val="Anexo 1"/>
      <sheetName val="Opciones Tratamiento"/>
      <sheetName val="Hoja1"/>
    </sheetNames>
    <sheetDataSet>
      <sheetData sheetId="0"/>
      <sheetData sheetId="1"/>
      <sheetData sheetId="2"/>
      <sheetData sheetId="3"/>
      <sheetData sheetId="4"/>
      <sheetData sheetId="5">
        <row r="15">
          <cell r="C15" t="str">
            <v xml:space="preserve">     Afectación menor a 10 SMLMV .</v>
          </cell>
          <cell r="E15" t="str">
            <v xml:space="preserve">     El riesgo afecta la imagen de alguna área de la organización</v>
          </cell>
        </row>
        <row r="16">
          <cell r="C16" t="str">
            <v xml:space="preserve">     Entre 10 y 50 SMLMV </v>
          </cell>
          <cell r="E16" t="str">
            <v xml:space="preserve">     El riesgo afecta la imagen de la entidad internamente, de conocimiento general, nivel interno, de junta dircetiva y accionistas y/o de provedores</v>
          </cell>
        </row>
        <row r="17">
          <cell r="C17" t="str">
            <v xml:space="preserve">     Entre 50 y 100 SMLMV </v>
          </cell>
          <cell r="E17" t="str">
            <v xml:space="preserve">     El riesgo afecta la imagen de la entidad con algunos usuarios de relevancia frente al logro de los objetivos</v>
          </cell>
        </row>
        <row r="18">
          <cell r="C18" t="str">
            <v xml:space="preserve">     Entre 100 y 500 SMLMV </v>
          </cell>
          <cell r="E18" t="str">
            <v xml:space="preserve">     El riesgo afecta la imagen de de la entidad con efecto publicitario sostenido a nivel de sector administrativo, nivel departamental o municipal</v>
          </cell>
        </row>
        <row r="19">
          <cell r="C19" t="str">
            <v xml:space="preserve">     Mayor a 500 SMLMV </v>
          </cell>
          <cell r="E19" t="str">
            <v xml:space="preserve">     El riesgo afecta la imagen de la entidad a nivel nacional, con efecto publicitarios sostenible a nivel país</v>
          </cell>
        </row>
        <row r="225">
          <cell r="B225" t="str">
            <v>Criterios</v>
          </cell>
        </row>
        <row r="226">
          <cell r="B226" t="str">
            <v>Afectación Económica o presupuestal</v>
          </cell>
        </row>
        <row r="227">
          <cell r="B227" t="str">
            <v>Pérdida Reputacional</v>
          </cell>
          <cell r="G227" t="str">
            <v>❌</v>
          </cell>
        </row>
      </sheetData>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53">
      <pivotArea type="all" dataOnly="0" outline="0" fieldPosition="0"/>
    </format>
    <format dxfId="152">
      <pivotArea field="0" type="button" dataOnly="0" labelOnly="1" outline="0" axis="axisRow" fieldPosition="0"/>
    </format>
    <format dxfId="151">
      <pivotArea field="1" type="button" dataOnly="0" labelOnly="1" outline="0" axis="axisRow" fieldPosition="1"/>
    </format>
    <format dxfId="150">
      <pivotArea dataOnly="0" labelOnly="1" outline="0" fieldPosition="0">
        <references count="1">
          <reference field="0" count="0"/>
        </references>
      </pivotArea>
    </format>
    <format dxfId="149">
      <pivotArea dataOnly="0" labelOnly="1" outline="0" fieldPosition="0">
        <references count="2">
          <reference field="0" count="1" selected="0">
            <x v="0"/>
          </reference>
          <reference field="1" count="5">
            <x v="0"/>
            <x v="6"/>
            <x v="7"/>
            <x v="8"/>
            <x v="9"/>
          </reference>
        </references>
      </pivotArea>
    </format>
    <format dxfId="148">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147" dataDxfId="146">
  <autoFilter ref="B213:C223" xr:uid="{00000000-0009-0000-0100-000001000000}"/>
  <tableColumns count="2">
    <tableColumn id="1" xr3:uid="{00000000-0010-0000-0000-000001000000}" name="Criterios" dataDxfId="145"/>
    <tableColumn id="2" xr3:uid="{00000000-0010-0000-0000-000002000000}" name="Subcriterios" dataDxfId="14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11" sqref="B11:H11"/>
    </sheetView>
  </sheetViews>
  <sheetFormatPr baseColWidth="10" defaultColWidth="11.42578125" defaultRowHeight="15" x14ac:dyDescent="0.25"/>
  <cols>
    <col min="1" max="1" width="2.7109375" style="41" customWidth="1" collapsed="1"/>
    <col min="2" max="3" width="24.7109375" style="41" customWidth="1" collapsed="1"/>
    <col min="4" max="4" width="16" style="41" customWidth="1" collapsed="1"/>
    <col min="5" max="5" width="24.7109375" style="41" customWidth="1" collapsed="1"/>
    <col min="6" max="6" width="27.7109375" style="41" customWidth="1" collapsed="1"/>
    <col min="7" max="7" width="24.7109375" style="41" customWidth="1" collapsed="1"/>
    <col min="8" max="8" width="40.28515625" style="41" customWidth="1" collapsed="1"/>
    <col min="9" max="16384" width="11.42578125" style="41" collapsed="1"/>
  </cols>
  <sheetData>
    <row r="1" spans="2:8" x14ac:dyDescent="0.25">
      <c r="B1" s="195"/>
      <c r="C1" s="196" t="s">
        <v>0</v>
      </c>
      <c r="D1" s="197"/>
      <c r="E1" s="197"/>
      <c r="F1" s="197"/>
      <c r="G1" s="197"/>
      <c r="H1" s="63"/>
    </row>
    <row r="2" spans="2:8" x14ac:dyDescent="0.25">
      <c r="B2" s="195"/>
      <c r="C2" s="197"/>
      <c r="D2" s="197"/>
      <c r="E2" s="197"/>
      <c r="F2" s="197"/>
      <c r="G2" s="197"/>
      <c r="H2" s="63"/>
    </row>
    <row r="3" spans="2:8" x14ac:dyDescent="0.25">
      <c r="B3" s="195"/>
      <c r="C3" s="197"/>
      <c r="D3" s="197"/>
      <c r="E3" s="197"/>
      <c r="F3" s="197"/>
      <c r="G3" s="197"/>
      <c r="H3" s="63"/>
    </row>
    <row r="4" spans="2:8" x14ac:dyDescent="0.25">
      <c r="B4" s="195"/>
      <c r="C4" s="197"/>
      <c r="D4" s="197"/>
      <c r="E4" s="197"/>
      <c r="F4" s="197"/>
      <c r="G4" s="197"/>
      <c r="H4" s="63"/>
    </row>
    <row r="5" spans="2:8" x14ac:dyDescent="0.25">
      <c r="B5" s="189"/>
      <c r="C5" s="190"/>
      <c r="D5" s="190"/>
      <c r="E5" s="190"/>
      <c r="F5" s="190"/>
      <c r="G5" s="190"/>
      <c r="H5" s="191"/>
    </row>
    <row r="6" spans="2:8" ht="18" x14ac:dyDescent="0.25">
      <c r="B6" s="198" t="s">
        <v>1</v>
      </c>
      <c r="C6" s="198"/>
      <c r="D6" s="198"/>
      <c r="E6" s="198"/>
      <c r="F6" s="198"/>
      <c r="G6" s="198"/>
      <c r="H6" s="198"/>
    </row>
    <row r="7" spans="2:8" x14ac:dyDescent="0.25">
      <c r="B7" s="192"/>
      <c r="C7" s="193"/>
      <c r="D7" s="193"/>
      <c r="E7" s="193"/>
      <c r="F7" s="193"/>
      <c r="G7" s="193"/>
      <c r="H7" s="194"/>
    </row>
    <row r="8" spans="2:8" ht="63" customHeight="1" x14ac:dyDescent="0.25">
      <c r="B8" s="181" t="s">
        <v>2</v>
      </c>
      <c r="C8" s="181"/>
      <c r="D8" s="181"/>
      <c r="E8" s="181"/>
      <c r="F8" s="181"/>
      <c r="G8" s="181"/>
      <c r="H8" s="181"/>
    </row>
    <row r="9" spans="2:8" ht="63" customHeight="1" x14ac:dyDescent="0.25">
      <c r="B9" s="181"/>
      <c r="C9" s="181"/>
      <c r="D9" s="181"/>
      <c r="E9" s="181"/>
      <c r="F9" s="181"/>
      <c r="G9" s="181"/>
      <c r="H9" s="181"/>
    </row>
    <row r="10" spans="2:8" ht="16.5" x14ac:dyDescent="0.25">
      <c r="B10" s="182" t="s">
        <v>3</v>
      </c>
      <c r="C10" s="183"/>
      <c r="D10" s="183"/>
      <c r="E10" s="183"/>
      <c r="F10" s="183"/>
      <c r="G10" s="183"/>
      <c r="H10" s="183"/>
    </row>
    <row r="11" spans="2:8" ht="95.25" customHeight="1" x14ac:dyDescent="0.25">
      <c r="B11" s="184" t="s">
        <v>4</v>
      </c>
      <c r="C11" s="184"/>
      <c r="D11" s="184"/>
      <c r="E11" s="184"/>
      <c r="F11" s="184"/>
      <c r="G11" s="184"/>
      <c r="H11" s="184"/>
    </row>
    <row r="12" spans="2:8" ht="16.5" x14ac:dyDescent="0.25">
      <c r="B12" s="66"/>
      <c r="C12" s="67"/>
      <c r="D12" s="67"/>
      <c r="E12" s="67"/>
      <c r="F12" s="67"/>
      <c r="G12" s="67"/>
      <c r="H12" s="67"/>
    </row>
    <row r="13" spans="2:8" ht="16.5" customHeight="1" x14ac:dyDescent="0.25">
      <c r="B13" s="185" t="s">
        <v>5</v>
      </c>
      <c r="C13" s="185"/>
      <c r="D13" s="185"/>
      <c r="E13" s="185"/>
      <c r="F13" s="185"/>
      <c r="G13" s="185"/>
      <c r="H13" s="185"/>
    </row>
    <row r="14" spans="2:8" ht="16.5" customHeight="1" x14ac:dyDescent="0.25">
      <c r="B14" s="185"/>
      <c r="C14" s="185"/>
      <c r="D14" s="185"/>
      <c r="E14" s="185"/>
      <c r="F14" s="185"/>
      <c r="G14" s="185"/>
      <c r="H14" s="185"/>
    </row>
    <row r="15" spans="2:8" ht="11.65" customHeight="1" x14ac:dyDescent="0.25">
      <c r="B15" s="68"/>
      <c r="C15" s="69"/>
      <c r="D15" s="69"/>
      <c r="E15" s="69"/>
      <c r="F15" s="69"/>
      <c r="G15" s="68"/>
      <c r="H15" s="68"/>
    </row>
    <row r="16" spans="2:8" ht="27.4" customHeight="1" x14ac:dyDescent="0.25">
      <c r="B16" s="186" t="s">
        <v>6</v>
      </c>
      <c r="C16" s="186"/>
      <c r="D16" s="186"/>
      <c r="E16" s="186"/>
      <c r="F16" s="186"/>
      <c r="G16" s="186"/>
      <c r="H16" s="186"/>
    </row>
    <row r="17" spans="2:8" x14ac:dyDescent="0.25">
      <c r="B17" s="69"/>
      <c r="C17" s="187" t="s">
        <v>7</v>
      </c>
      <c r="D17" s="187"/>
      <c r="E17" s="188" t="s">
        <v>8</v>
      </c>
      <c r="F17" s="188"/>
      <c r="G17" s="69"/>
      <c r="H17" s="69"/>
    </row>
    <row r="18" spans="2:8" ht="13.5" customHeight="1" x14ac:dyDescent="0.25">
      <c r="B18" s="65"/>
      <c r="C18" s="180" t="s">
        <v>9</v>
      </c>
      <c r="D18" s="180"/>
      <c r="E18" s="179" t="s">
        <v>10</v>
      </c>
      <c r="F18" s="179"/>
      <c r="G18" s="65"/>
      <c r="H18" s="65"/>
    </row>
    <row r="19" spans="2:8" ht="13.5" customHeight="1" x14ac:dyDescent="0.25">
      <c r="B19" s="65"/>
      <c r="C19" s="180" t="s">
        <v>11</v>
      </c>
      <c r="D19" s="180"/>
      <c r="E19" s="179" t="s">
        <v>12</v>
      </c>
      <c r="F19" s="179"/>
      <c r="G19" s="65"/>
      <c r="H19" s="65"/>
    </row>
    <row r="20" spans="2:8" ht="13.5" customHeight="1" x14ac:dyDescent="0.25">
      <c r="B20" s="65"/>
      <c r="C20" s="180" t="s">
        <v>13</v>
      </c>
      <c r="D20" s="180"/>
      <c r="E20" s="179" t="s">
        <v>14</v>
      </c>
      <c r="F20" s="179"/>
      <c r="G20" s="65"/>
      <c r="H20" s="65"/>
    </row>
    <row r="21" spans="2:8" ht="27" customHeight="1" x14ac:dyDescent="0.25">
      <c r="B21" s="65"/>
      <c r="C21" s="180" t="s">
        <v>15</v>
      </c>
      <c r="D21" s="180"/>
      <c r="E21" s="179" t="s">
        <v>16</v>
      </c>
      <c r="F21" s="179"/>
      <c r="G21" s="65"/>
      <c r="H21" s="65"/>
    </row>
    <row r="22" spans="2:8" ht="30" customHeight="1" x14ac:dyDescent="0.25">
      <c r="B22" s="65"/>
      <c r="C22" s="178" t="s">
        <v>17</v>
      </c>
      <c r="D22" s="178"/>
      <c r="E22" s="179" t="s">
        <v>18</v>
      </c>
      <c r="F22" s="179"/>
      <c r="G22" s="65"/>
      <c r="H22" s="65"/>
    </row>
    <row r="23" spans="2:8" ht="44.25" customHeight="1" x14ac:dyDescent="0.25">
      <c r="B23" s="65"/>
      <c r="C23" s="178" t="s">
        <v>19</v>
      </c>
      <c r="D23" s="178"/>
      <c r="E23" s="179" t="s">
        <v>20</v>
      </c>
      <c r="F23" s="179"/>
      <c r="G23" s="65"/>
      <c r="H23" s="65"/>
    </row>
    <row r="24" spans="2:8" ht="69" customHeight="1" x14ac:dyDescent="0.25">
      <c r="B24" s="65"/>
      <c r="C24" s="178" t="s">
        <v>21</v>
      </c>
      <c r="D24" s="178"/>
      <c r="E24" s="179" t="s">
        <v>22</v>
      </c>
      <c r="F24" s="179"/>
      <c r="G24" s="65"/>
      <c r="H24" s="65"/>
    </row>
    <row r="25" spans="2:8" ht="69.75" customHeight="1" x14ac:dyDescent="0.25">
      <c r="B25" s="65"/>
      <c r="C25" s="178" t="s">
        <v>23</v>
      </c>
      <c r="D25" s="178"/>
      <c r="E25" s="179" t="s">
        <v>24</v>
      </c>
      <c r="F25" s="179"/>
      <c r="G25" s="65"/>
      <c r="H25" s="65"/>
    </row>
    <row r="26" spans="2:8" ht="63.75" customHeight="1" x14ac:dyDescent="0.25">
      <c r="B26" s="65"/>
      <c r="C26" s="178" t="s">
        <v>25</v>
      </c>
      <c r="D26" s="178"/>
      <c r="E26" s="179" t="s">
        <v>26</v>
      </c>
      <c r="F26" s="179"/>
      <c r="G26" s="65"/>
      <c r="H26" s="65"/>
    </row>
    <row r="27" spans="2:8" ht="64.5" customHeight="1" x14ac:dyDescent="0.25">
      <c r="B27" s="65"/>
      <c r="C27" s="178" t="s">
        <v>27</v>
      </c>
      <c r="D27" s="178"/>
      <c r="E27" s="179" t="s">
        <v>28</v>
      </c>
      <c r="F27" s="179"/>
      <c r="G27" s="65"/>
      <c r="H27" s="65"/>
    </row>
    <row r="28" spans="2:8" ht="41.25" customHeight="1" x14ac:dyDescent="0.25">
      <c r="B28" s="65"/>
      <c r="C28" s="178" t="s">
        <v>29</v>
      </c>
      <c r="D28" s="178"/>
      <c r="E28" s="179" t="s">
        <v>30</v>
      </c>
      <c r="F28" s="179"/>
      <c r="G28" s="65"/>
      <c r="H28" s="65"/>
    </row>
    <row r="29" spans="2:8" ht="40.5" customHeight="1" x14ac:dyDescent="0.25">
      <c r="B29" s="65"/>
      <c r="C29" s="178" t="s">
        <v>31</v>
      </c>
      <c r="D29" s="178"/>
      <c r="E29" s="179" t="s">
        <v>32</v>
      </c>
      <c r="F29" s="179"/>
      <c r="G29" s="65"/>
      <c r="H29" s="65"/>
    </row>
    <row r="30" spans="2:8" ht="42" customHeight="1" x14ac:dyDescent="0.25">
      <c r="B30" s="65"/>
      <c r="C30" s="178" t="s">
        <v>33</v>
      </c>
      <c r="D30" s="178"/>
      <c r="E30" s="179" t="s">
        <v>34</v>
      </c>
      <c r="F30" s="179"/>
      <c r="G30" s="65"/>
      <c r="H30" s="65"/>
    </row>
    <row r="31" spans="2:8" ht="24.75" customHeight="1" x14ac:dyDescent="0.25">
      <c r="B31" s="65"/>
      <c r="C31" s="178" t="s">
        <v>35</v>
      </c>
      <c r="D31" s="178"/>
      <c r="E31" s="179" t="s">
        <v>36</v>
      </c>
      <c r="F31" s="179"/>
      <c r="G31" s="65"/>
      <c r="H31" s="65"/>
    </row>
    <row r="32" spans="2:8" ht="23.25" customHeight="1" x14ac:dyDescent="0.25">
      <c r="B32" s="65"/>
      <c r="C32" s="178" t="s">
        <v>37</v>
      </c>
      <c r="D32" s="178"/>
      <c r="E32" s="179" t="s">
        <v>38</v>
      </c>
      <c r="F32" s="179"/>
      <c r="G32" s="65"/>
      <c r="H32" s="65"/>
    </row>
    <row r="33" spans="2:8" ht="30.75" customHeight="1" x14ac:dyDescent="0.25">
      <c r="B33" s="65"/>
      <c r="C33" s="178" t="s">
        <v>39</v>
      </c>
      <c r="D33" s="178"/>
      <c r="E33" s="179" t="s">
        <v>40</v>
      </c>
      <c r="F33" s="179"/>
      <c r="G33" s="65"/>
      <c r="H33" s="65"/>
    </row>
    <row r="34" spans="2:8" ht="35.25" customHeight="1" x14ac:dyDescent="0.25">
      <c r="B34" s="65"/>
      <c r="C34" s="178" t="s">
        <v>39</v>
      </c>
      <c r="D34" s="178"/>
      <c r="E34" s="179" t="s">
        <v>40</v>
      </c>
      <c r="F34" s="179"/>
      <c r="G34" s="65"/>
      <c r="H34" s="65"/>
    </row>
    <row r="35" spans="2:8" ht="33" customHeight="1" x14ac:dyDescent="0.25">
      <c r="B35" s="65"/>
      <c r="C35" s="178" t="s">
        <v>41</v>
      </c>
      <c r="D35" s="178"/>
      <c r="E35" s="179" t="s">
        <v>42</v>
      </c>
      <c r="F35" s="179"/>
      <c r="G35" s="65"/>
      <c r="H35" s="65"/>
    </row>
    <row r="36" spans="2:8" ht="30" customHeight="1" x14ac:dyDescent="0.25">
      <c r="B36" s="65"/>
      <c r="C36" s="178" t="s">
        <v>43</v>
      </c>
      <c r="D36" s="178"/>
      <c r="E36" s="179" t="s">
        <v>44</v>
      </c>
      <c r="F36" s="179"/>
      <c r="G36" s="65"/>
      <c r="H36" s="65"/>
    </row>
    <row r="37" spans="2:8" ht="35.25" customHeight="1" x14ac:dyDescent="0.25">
      <c r="B37" s="65"/>
      <c r="C37" s="178" t="s">
        <v>45</v>
      </c>
      <c r="D37" s="178"/>
      <c r="E37" s="179" t="s">
        <v>46</v>
      </c>
      <c r="F37" s="179"/>
      <c r="G37" s="65"/>
      <c r="H37" s="65"/>
    </row>
    <row r="38" spans="2:8" ht="31.5" customHeight="1" x14ac:dyDescent="0.25">
      <c r="B38" s="65"/>
      <c r="C38" s="178" t="s">
        <v>47</v>
      </c>
      <c r="D38" s="178"/>
      <c r="E38" s="179" t="s">
        <v>48</v>
      </c>
      <c r="F38" s="179"/>
      <c r="G38" s="65"/>
      <c r="H38" s="65"/>
    </row>
    <row r="39" spans="2:8" ht="54" customHeight="1" x14ac:dyDescent="0.25">
      <c r="B39" s="65"/>
      <c r="C39" s="178" t="s">
        <v>49</v>
      </c>
      <c r="D39" s="178"/>
      <c r="E39" s="179" t="s">
        <v>50</v>
      </c>
      <c r="F39" s="179"/>
      <c r="G39" s="65"/>
      <c r="H39" s="65"/>
    </row>
    <row r="40" spans="2:8" ht="30.75" customHeight="1" x14ac:dyDescent="0.25">
      <c r="B40" s="65"/>
      <c r="C40" s="178" t="s">
        <v>51</v>
      </c>
      <c r="D40" s="178"/>
      <c r="E40" s="179" t="s">
        <v>52</v>
      </c>
      <c r="F40" s="179"/>
      <c r="G40" s="65"/>
      <c r="H40" s="65"/>
    </row>
    <row r="41" spans="2:8" ht="74.25" customHeight="1" x14ac:dyDescent="0.25">
      <c r="B41" s="65"/>
      <c r="C41" s="178" t="s">
        <v>53</v>
      </c>
      <c r="D41" s="178"/>
      <c r="E41" s="179" t="s">
        <v>54</v>
      </c>
      <c r="F41" s="179"/>
      <c r="G41" s="65"/>
      <c r="H41" s="65"/>
    </row>
    <row r="42" spans="2:8" ht="82.5" customHeight="1" x14ac:dyDescent="0.25">
      <c r="B42" s="65"/>
      <c r="C42" s="178" t="s">
        <v>55</v>
      </c>
      <c r="D42" s="178"/>
      <c r="E42" s="179" t="s">
        <v>56</v>
      </c>
      <c r="F42" s="179"/>
      <c r="G42" s="65"/>
      <c r="H42" s="65"/>
    </row>
    <row r="43" spans="2:8" ht="6.75" customHeight="1" x14ac:dyDescent="0.25">
      <c r="B43" s="65"/>
      <c r="C43" s="70"/>
      <c r="D43" s="70"/>
      <c r="E43" s="71"/>
      <c r="F43" s="71"/>
      <c r="G43" s="65"/>
      <c r="H43" s="65"/>
    </row>
    <row r="44" spans="2:8" x14ac:dyDescent="0.25">
      <c r="B44" s="65"/>
      <c r="C44" s="72"/>
      <c r="D44" s="72"/>
      <c r="E44" s="72"/>
      <c r="F44" s="72"/>
      <c r="G44" s="65"/>
      <c r="H44" s="65"/>
    </row>
    <row r="45" spans="2:8" ht="21" customHeight="1" x14ac:dyDescent="0.25">
      <c r="B45" s="72" t="s">
        <v>57</v>
      </c>
      <c r="C45" s="72"/>
      <c r="D45" s="72"/>
      <c r="E45" s="72"/>
      <c r="F45" s="72"/>
      <c r="G45" s="72"/>
      <c r="H45" s="72"/>
    </row>
    <row r="46" spans="2:8" ht="20.25" customHeight="1" x14ac:dyDescent="0.25">
      <c r="B46" s="72" t="s">
        <v>58</v>
      </c>
      <c r="C46" s="72"/>
      <c r="D46" s="72"/>
      <c r="E46" s="72"/>
      <c r="F46" s="72"/>
      <c r="G46" s="72"/>
      <c r="H46" s="72"/>
    </row>
    <row r="47" spans="2:8" ht="20.25" customHeight="1" x14ac:dyDescent="0.25">
      <c r="B47" s="72" t="s">
        <v>59</v>
      </c>
      <c r="C47" s="72"/>
      <c r="D47" s="72"/>
      <c r="E47" s="72"/>
      <c r="F47" s="72"/>
      <c r="G47" s="72"/>
      <c r="H47" s="72"/>
    </row>
    <row r="48" spans="2:8" ht="20.25" customHeight="1" x14ac:dyDescent="0.25">
      <c r="B48" s="72" t="s">
        <v>60</v>
      </c>
      <c r="C48" s="72"/>
      <c r="D48" s="72"/>
      <c r="E48" s="72"/>
      <c r="F48" s="72"/>
      <c r="G48" s="72"/>
      <c r="H48" s="72"/>
    </row>
    <row r="49" spans="2:8" ht="16.5" customHeight="1" x14ac:dyDescent="0.25">
      <c r="B49" s="72" t="s">
        <v>61</v>
      </c>
      <c r="C49" s="72"/>
      <c r="D49" s="72"/>
      <c r="E49" s="72"/>
      <c r="F49" s="72"/>
      <c r="G49" s="72"/>
      <c r="H49" s="72"/>
    </row>
    <row r="50" spans="2:8" ht="17.25" customHeight="1" x14ac:dyDescent="0.25">
      <c r="B50" s="72" t="s">
        <v>62</v>
      </c>
      <c r="C50" s="65"/>
      <c r="D50" s="65"/>
      <c r="E50" s="65"/>
      <c r="F50" s="65"/>
      <c r="G50" s="65"/>
      <c r="H50" s="65"/>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100</v>
      </c>
    </row>
    <row r="4" spans="1:1" x14ac:dyDescent="0.2">
      <c r="A4" s="2" t="s">
        <v>183</v>
      </c>
    </row>
    <row r="5" spans="1:1" x14ac:dyDescent="0.2">
      <c r="A5" s="2" t="s">
        <v>185</v>
      </c>
    </row>
    <row r="6" spans="1:1" x14ac:dyDescent="0.2">
      <c r="A6" s="2" t="s">
        <v>187</v>
      </c>
    </row>
    <row r="7" spans="1:1" x14ac:dyDescent="0.2">
      <c r="A7" s="2" t="s">
        <v>101</v>
      </c>
    </row>
    <row r="8" spans="1:1" x14ac:dyDescent="0.2">
      <c r="A8" s="2" t="s">
        <v>102</v>
      </c>
    </row>
    <row r="9" spans="1:1" x14ac:dyDescent="0.2">
      <c r="A9" s="2" t="s">
        <v>193</v>
      </c>
    </row>
    <row r="10" spans="1:1" x14ac:dyDescent="0.2">
      <c r="A10" s="2" t="s">
        <v>103</v>
      </c>
    </row>
    <row r="11" spans="1:1" x14ac:dyDescent="0.2">
      <c r="A11" s="2" t="s">
        <v>196</v>
      </c>
    </row>
    <row r="12" spans="1:1" x14ac:dyDescent="0.2">
      <c r="A12" s="2" t="s">
        <v>319</v>
      </c>
    </row>
    <row r="13" spans="1:1" x14ac:dyDescent="0.2">
      <c r="A13" s="2" t="s">
        <v>320</v>
      </c>
    </row>
    <row r="14" spans="1:1" x14ac:dyDescent="0.2">
      <c r="A14" s="2" t="s">
        <v>321</v>
      </c>
    </row>
    <row r="16" spans="1:1" x14ac:dyDescent="0.2">
      <c r="A16" s="2" t="s">
        <v>322</v>
      </c>
    </row>
    <row r="17" spans="1:1" x14ac:dyDescent="0.2">
      <c r="A17" s="2" t="s">
        <v>307</v>
      </c>
    </row>
    <row r="18" spans="1:1" x14ac:dyDescent="0.2">
      <c r="A18" s="2" t="s">
        <v>308</v>
      </c>
    </row>
    <row r="20" spans="1:1" x14ac:dyDescent="0.2">
      <c r="A20" s="2" t="s">
        <v>311</v>
      </c>
    </row>
    <row r="21" spans="1:1" x14ac:dyDescent="0.2">
      <c r="A21" s="2"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R86"/>
  <sheetViews>
    <sheetView tabSelected="1" zoomScale="40" zoomScaleNormal="40" workbookViewId="0">
      <pane xSplit="1" topLeftCell="B1" activePane="topRight" state="frozen"/>
      <selection pane="topRight" activeCell="C11" sqref="C11:C16"/>
    </sheetView>
  </sheetViews>
  <sheetFormatPr baseColWidth="10" defaultColWidth="11.42578125" defaultRowHeight="18" x14ac:dyDescent="0.25"/>
  <cols>
    <col min="1" max="1" width="8.42578125" style="110" customWidth="1"/>
    <col min="2" max="2" width="15.140625" style="110" customWidth="1"/>
    <col min="3" max="3" width="19.85546875" style="110" customWidth="1"/>
    <col min="4" max="4" width="25.7109375" style="110" customWidth="1"/>
    <col min="5" max="5" width="27.140625" style="110" customWidth="1"/>
    <col min="6" max="6" width="40.140625" style="102" customWidth="1"/>
    <col min="7" max="7" width="40.140625" style="111" customWidth="1"/>
    <col min="8" max="8" width="17.85546875" style="102" customWidth="1"/>
    <col min="9" max="9" width="16.5703125" style="102" customWidth="1"/>
    <col min="10" max="10" width="6.85546875" style="102" bestFit="1" customWidth="1"/>
    <col min="11" max="11" width="27.28515625" style="102" bestFit="1" customWidth="1"/>
    <col min="12" max="12" width="16.28515625" style="102" hidden="1" customWidth="1"/>
    <col min="13" max="13" width="17.5703125" style="102" customWidth="1"/>
    <col min="14" max="14" width="6.85546875" style="102" bestFit="1" customWidth="1"/>
    <col min="15" max="15" width="16" style="102" customWidth="1"/>
    <col min="16" max="16" width="5.85546875" style="102" customWidth="1"/>
    <col min="17" max="17" width="43.5703125" style="109" customWidth="1"/>
    <col min="18" max="18" width="20.85546875" style="102" customWidth="1"/>
    <col min="19" max="19" width="6.85546875" style="102" customWidth="1"/>
    <col min="20" max="20" width="5" style="102" customWidth="1"/>
    <col min="21" max="21" width="5.5703125" style="102" customWidth="1"/>
    <col min="22" max="22" width="7.140625" style="102" customWidth="1"/>
    <col min="23" max="23" width="6.7109375" style="102" customWidth="1"/>
    <col min="24" max="24" width="7.5703125" style="102" customWidth="1"/>
    <col min="25" max="25" width="9.28515625" style="102" hidden="1" customWidth="1"/>
    <col min="26" max="26" width="19.85546875" style="102" customWidth="1"/>
    <col min="27" max="27" width="10.42578125" style="102" customWidth="1"/>
    <col min="28" max="28" width="9.28515625" style="102" customWidth="1"/>
    <col min="29" max="29" width="9.140625" style="102" customWidth="1"/>
    <col min="30" max="30" width="8.42578125" style="102" customWidth="1"/>
    <col min="31" max="31" width="12" style="102" customWidth="1"/>
    <col min="32" max="32" width="43.5703125" style="102" customWidth="1"/>
    <col min="33" max="33" width="18.85546875" style="102" customWidth="1"/>
    <col min="34" max="35" width="14.5703125" style="102" customWidth="1"/>
    <col min="36" max="36" width="14.85546875" style="102" customWidth="1"/>
    <col min="37" max="37" width="18.5703125" style="102" customWidth="1"/>
    <col min="38" max="38" width="31.5703125" style="102" customWidth="1"/>
    <col min="39" max="16384" width="11.42578125" style="102"/>
  </cols>
  <sheetData>
    <row r="1" spans="1:70" x14ac:dyDescent="0.25">
      <c r="A1" s="263"/>
      <c r="B1" s="264"/>
      <c r="C1" s="264"/>
      <c r="D1" s="264"/>
      <c r="E1" s="265"/>
      <c r="F1" s="201" t="s">
        <v>0</v>
      </c>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3"/>
      <c r="AK1" s="199" t="s">
        <v>323</v>
      </c>
      <c r="AL1" s="200"/>
    </row>
    <row r="2" spans="1:70" x14ac:dyDescent="0.25">
      <c r="A2" s="266"/>
      <c r="B2" s="267"/>
      <c r="C2" s="267"/>
      <c r="D2" s="267"/>
      <c r="E2" s="268"/>
      <c r="F2" s="204"/>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6"/>
      <c r="AK2" s="199" t="s">
        <v>325</v>
      </c>
      <c r="AL2" s="200"/>
    </row>
    <row r="3" spans="1:70" x14ac:dyDescent="0.25">
      <c r="A3" s="266"/>
      <c r="B3" s="267"/>
      <c r="C3" s="267"/>
      <c r="D3" s="267"/>
      <c r="E3" s="268"/>
      <c r="F3" s="204"/>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6"/>
      <c r="AK3" s="199" t="s">
        <v>326</v>
      </c>
      <c r="AL3" s="200"/>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row>
    <row r="4" spans="1:70" x14ac:dyDescent="0.25">
      <c r="A4" s="269"/>
      <c r="B4" s="270"/>
      <c r="C4" s="270"/>
      <c r="D4" s="270"/>
      <c r="E4" s="271"/>
      <c r="F4" s="207"/>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9"/>
      <c r="AK4" s="199" t="s">
        <v>324</v>
      </c>
      <c r="AL4" s="200"/>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row>
    <row r="5" spans="1:70" x14ac:dyDescent="0.25">
      <c r="A5" s="134"/>
      <c r="B5" s="134"/>
      <c r="C5" s="135"/>
      <c r="D5" s="134"/>
      <c r="E5" s="134"/>
      <c r="F5" s="136"/>
      <c r="G5" s="137"/>
      <c r="H5" s="136"/>
      <c r="I5" s="136"/>
      <c r="J5" s="136"/>
      <c r="K5" s="136"/>
      <c r="L5" s="136"/>
      <c r="M5" s="136"/>
      <c r="N5" s="136"/>
      <c r="O5" s="136"/>
      <c r="P5" s="136"/>
      <c r="Q5" s="138"/>
      <c r="R5" s="136"/>
      <c r="S5" s="136"/>
      <c r="T5" s="136"/>
      <c r="U5" s="136"/>
      <c r="V5" s="136"/>
      <c r="W5" s="136"/>
      <c r="X5" s="136"/>
      <c r="Y5" s="136"/>
      <c r="Z5" s="136"/>
      <c r="AA5" s="136"/>
      <c r="AB5" s="136"/>
      <c r="AC5" s="136"/>
      <c r="AD5" s="136"/>
      <c r="AE5" s="136"/>
      <c r="AF5" s="136"/>
      <c r="AG5" s="136"/>
      <c r="AH5" s="136"/>
      <c r="AI5" s="136"/>
      <c r="AJ5" s="136"/>
      <c r="AK5" s="136"/>
      <c r="AL5" s="136"/>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row>
    <row r="6" spans="1:70" ht="18" customHeight="1" x14ac:dyDescent="0.25">
      <c r="A6" s="305" t="s">
        <v>63</v>
      </c>
      <c r="B6" s="306"/>
      <c r="C6" s="307"/>
      <c r="D6" s="315" t="s">
        <v>367</v>
      </c>
      <c r="E6" s="316"/>
      <c r="F6" s="316"/>
      <c r="G6" s="316"/>
      <c r="H6" s="316"/>
      <c r="I6" s="316"/>
      <c r="J6" s="316"/>
      <c r="K6" s="316"/>
      <c r="L6" s="316"/>
      <c r="M6" s="316"/>
      <c r="N6" s="316"/>
      <c r="O6" s="317"/>
      <c r="P6" s="136"/>
      <c r="Q6" s="138"/>
      <c r="R6" s="136"/>
      <c r="S6" s="136"/>
      <c r="T6" s="136"/>
      <c r="U6" s="136"/>
      <c r="V6" s="136"/>
      <c r="W6" s="136"/>
      <c r="X6" s="136"/>
      <c r="Y6" s="136"/>
      <c r="Z6" s="136"/>
      <c r="AA6" s="136"/>
      <c r="AB6" s="136"/>
      <c r="AC6" s="136"/>
      <c r="AD6" s="136"/>
      <c r="AE6" s="136"/>
      <c r="AF6" s="136"/>
      <c r="AG6" s="136"/>
      <c r="AH6" s="136"/>
      <c r="AI6" s="136"/>
      <c r="AJ6" s="136"/>
      <c r="AK6" s="136"/>
      <c r="AL6" s="136"/>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row>
    <row r="7" spans="1:70" ht="18" customHeight="1" x14ac:dyDescent="0.25">
      <c r="A7" s="305" t="s">
        <v>64</v>
      </c>
      <c r="B7" s="306"/>
      <c r="C7" s="307"/>
      <c r="D7" s="315" t="s">
        <v>368</v>
      </c>
      <c r="E7" s="316"/>
      <c r="F7" s="316"/>
      <c r="G7" s="316"/>
      <c r="H7" s="316"/>
      <c r="I7" s="316"/>
      <c r="J7" s="316"/>
      <c r="K7" s="316"/>
      <c r="L7" s="316"/>
      <c r="M7" s="316"/>
      <c r="N7" s="316"/>
      <c r="O7" s="317"/>
      <c r="P7" s="136"/>
      <c r="Q7" s="138"/>
      <c r="R7" s="136"/>
      <c r="S7" s="136"/>
      <c r="T7" s="136"/>
      <c r="U7" s="136"/>
      <c r="V7" s="136"/>
      <c r="W7" s="136"/>
      <c r="X7" s="136"/>
      <c r="Y7" s="136"/>
      <c r="Z7" s="136"/>
      <c r="AA7" s="136"/>
      <c r="AB7" s="136"/>
      <c r="AC7" s="136"/>
      <c r="AD7" s="136"/>
      <c r="AE7" s="136"/>
      <c r="AF7" s="136"/>
      <c r="AG7" s="136"/>
      <c r="AH7" s="136"/>
      <c r="AI7" s="136"/>
      <c r="AJ7" s="136"/>
      <c r="AK7" s="136"/>
      <c r="AL7" s="136"/>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row>
    <row r="8" spans="1:70" x14ac:dyDescent="0.25">
      <c r="A8" s="278" t="s">
        <v>65</v>
      </c>
      <c r="B8" s="279"/>
      <c r="C8" s="279"/>
      <c r="D8" s="279"/>
      <c r="E8" s="279"/>
      <c r="F8" s="279"/>
      <c r="G8" s="279"/>
      <c r="H8" s="280"/>
      <c r="I8" s="318" t="s">
        <v>66</v>
      </c>
      <c r="J8" s="319"/>
      <c r="K8" s="319"/>
      <c r="L8" s="319"/>
      <c r="M8" s="319"/>
      <c r="N8" s="319"/>
      <c r="O8" s="320"/>
      <c r="P8" s="224" t="s">
        <v>67</v>
      </c>
      <c r="Q8" s="225"/>
      <c r="R8" s="225"/>
      <c r="S8" s="225"/>
      <c r="T8" s="225"/>
      <c r="U8" s="225"/>
      <c r="V8" s="225"/>
      <c r="W8" s="225"/>
      <c r="X8" s="226"/>
      <c r="Y8" s="227" t="s">
        <v>68</v>
      </c>
      <c r="Z8" s="228"/>
      <c r="AA8" s="228"/>
      <c r="AB8" s="228"/>
      <c r="AC8" s="228"/>
      <c r="AD8" s="228"/>
      <c r="AE8" s="229"/>
      <c r="AF8" s="230" t="s">
        <v>69</v>
      </c>
      <c r="AG8" s="231"/>
      <c r="AH8" s="231"/>
      <c r="AI8" s="231"/>
      <c r="AJ8" s="231"/>
      <c r="AK8" s="231"/>
      <c r="AL8" s="232"/>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row>
    <row r="9" spans="1:70" ht="16.5" customHeight="1" x14ac:dyDescent="0.25">
      <c r="A9" s="308" t="s">
        <v>328</v>
      </c>
      <c r="B9" s="308" t="s">
        <v>327</v>
      </c>
      <c r="C9" s="313" t="s">
        <v>17</v>
      </c>
      <c r="D9" s="311" t="s">
        <v>19</v>
      </c>
      <c r="E9" s="311" t="s">
        <v>21</v>
      </c>
      <c r="F9" s="312" t="s">
        <v>23</v>
      </c>
      <c r="G9" s="310" t="s">
        <v>25</v>
      </c>
      <c r="H9" s="311" t="s">
        <v>70</v>
      </c>
      <c r="I9" s="336" t="s">
        <v>71</v>
      </c>
      <c r="J9" s="332" t="s">
        <v>72</v>
      </c>
      <c r="K9" s="329" t="s">
        <v>73</v>
      </c>
      <c r="L9" s="329" t="s">
        <v>74</v>
      </c>
      <c r="M9" s="330" t="s">
        <v>75</v>
      </c>
      <c r="N9" s="332" t="s">
        <v>72</v>
      </c>
      <c r="O9" s="327" t="s">
        <v>31</v>
      </c>
      <c r="P9" s="323" t="s">
        <v>76</v>
      </c>
      <c r="Q9" s="326" t="s">
        <v>33</v>
      </c>
      <c r="R9" s="333" t="s">
        <v>35</v>
      </c>
      <c r="S9" s="326" t="s">
        <v>77</v>
      </c>
      <c r="T9" s="326"/>
      <c r="U9" s="326"/>
      <c r="V9" s="326"/>
      <c r="W9" s="326"/>
      <c r="X9" s="326"/>
      <c r="Y9" s="325" t="s">
        <v>78</v>
      </c>
      <c r="Z9" s="325" t="s">
        <v>79</v>
      </c>
      <c r="AA9" s="325" t="s">
        <v>72</v>
      </c>
      <c r="AB9" s="325" t="s">
        <v>80</v>
      </c>
      <c r="AC9" s="325" t="s">
        <v>72</v>
      </c>
      <c r="AD9" s="325" t="s">
        <v>81</v>
      </c>
      <c r="AE9" s="321" t="s">
        <v>51</v>
      </c>
      <c r="AF9" s="335" t="s">
        <v>69</v>
      </c>
      <c r="AG9" s="335" t="s">
        <v>82</v>
      </c>
      <c r="AH9" s="335" t="s">
        <v>83</v>
      </c>
      <c r="AI9" s="222" t="s">
        <v>84</v>
      </c>
      <c r="AJ9" s="335" t="s">
        <v>85</v>
      </c>
      <c r="AK9" s="335" t="s">
        <v>86</v>
      </c>
      <c r="AL9" s="335" t="s">
        <v>55</v>
      </c>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row>
    <row r="10" spans="1:70" s="105" customFormat="1" ht="78" customHeight="1" x14ac:dyDescent="0.25">
      <c r="A10" s="309"/>
      <c r="B10" s="309"/>
      <c r="C10" s="313"/>
      <c r="D10" s="314"/>
      <c r="E10" s="314"/>
      <c r="F10" s="313"/>
      <c r="G10" s="311"/>
      <c r="H10" s="314"/>
      <c r="I10" s="327"/>
      <c r="J10" s="331"/>
      <c r="K10" s="327"/>
      <c r="L10" s="327"/>
      <c r="M10" s="331"/>
      <c r="N10" s="331"/>
      <c r="O10" s="328"/>
      <c r="P10" s="324"/>
      <c r="Q10" s="326"/>
      <c r="R10" s="334"/>
      <c r="S10" s="139" t="s">
        <v>87</v>
      </c>
      <c r="T10" s="139" t="s">
        <v>88</v>
      </c>
      <c r="U10" s="139" t="s">
        <v>89</v>
      </c>
      <c r="V10" s="139" t="s">
        <v>90</v>
      </c>
      <c r="W10" s="139" t="s">
        <v>91</v>
      </c>
      <c r="X10" s="139" t="s">
        <v>92</v>
      </c>
      <c r="Y10" s="325"/>
      <c r="Z10" s="325"/>
      <c r="AA10" s="325"/>
      <c r="AB10" s="325"/>
      <c r="AC10" s="325"/>
      <c r="AD10" s="325"/>
      <c r="AE10" s="322"/>
      <c r="AF10" s="335"/>
      <c r="AG10" s="335"/>
      <c r="AH10" s="335"/>
      <c r="AI10" s="223"/>
      <c r="AJ10" s="335"/>
      <c r="AK10" s="335"/>
      <c r="AL10" s="335"/>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row>
    <row r="11" spans="1:70" s="107" customFormat="1" ht="214.5" customHeight="1" x14ac:dyDescent="0.25">
      <c r="A11" s="260">
        <v>1</v>
      </c>
      <c r="B11" s="293" t="s">
        <v>349</v>
      </c>
      <c r="C11" s="254" t="s">
        <v>93</v>
      </c>
      <c r="D11" s="254" t="s">
        <v>94</v>
      </c>
      <c r="E11" s="254" t="s">
        <v>95</v>
      </c>
      <c r="F11" s="257" t="s">
        <v>96</v>
      </c>
      <c r="G11" s="254" t="s">
        <v>97</v>
      </c>
      <c r="H11" s="302">
        <v>2</v>
      </c>
      <c r="I11" s="242" t="str">
        <f>IF(H11&lt;=0,"",IF(H11&lt;=2,"Muy Baja",IF(H11&lt;=24,"Baja",IF(H11&lt;=500,"Media",IF(H11&lt;=5000,"Alta","Muy Alta")))))</f>
        <v>Muy Baja</v>
      </c>
      <c r="J11" s="233">
        <f>IF(I11="","",IF(I11="Muy Baja",0.2,IF(I11="Baja",0.4,IF(I11="Media",0.6,IF(I11="Alta",0.8,IF(I11="Muy Alta",1,))))))</f>
        <v>0.2</v>
      </c>
      <c r="K11" s="239" t="s">
        <v>162</v>
      </c>
      <c r="L11" s="233" t="str">
        <f>IF(NOT(ISERROR(MATCH(K11,'Tabla Impacto'!$B$225:$B$227,0))),'Tabla Impacto'!$G$227&amp;"Por favor no seleccionar los criterios de impacto(Afectación Económica o presupuestal y Pérdida Reputacional)",K11)</f>
        <v xml:space="preserve">     El riesgo afecta la imagen de de la entidad con efecto publicitario sostenido a nivel de sector administrativo, nivel departamental o municipal</v>
      </c>
      <c r="M11" s="242" t="str">
        <f>IF(OR(L11='Tabla Impacto'!$C$15,L11='Tabla Impacto'!$E$15),"Leve",IF(OR(L11='Tabla Impacto'!$C$16,L11='Tabla Impacto'!$E$16),"Menor",IF(OR(L11='Tabla Impacto'!$C$17,L11='Tabla Impacto'!$E$17),"Moderado",IF(OR(L11='Tabla Impacto'!$C$18,L11='Tabla Impacto'!$E$18),"Mayor",IF(OR(L11='Tabla Impacto'!$C$19,L11='Tabla Impacto'!$E$19),"Catastrófico","")))))</f>
        <v>Mayor</v>
      </c>
      <c r="N11" s="233">
        <f>IF(M11="","",IF(M11="Leve",0.2,IF(M11="Menor",0.4,IF(M11="Moderado",0.6,IF(M11="Mayor",0.8,IF(M11="Catastrófico",1,))))))</f>
        <v>0.8</v>
      </c>
      <c r="O11" s="236"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Alto</v>
      </c>
      <c r="P11" s="141">
        <v>1</v>
      </c>
      <c r="Q11" s="142" t="s">
        <v>99</v>
      </c>
      <c r="R11" s="143" t="str">
        <f>IF(OR(S11="Preventivo",S11="Detectivo"),"Probabilidad",IF(S11="Correctivo","Impacto",""))</f>
        <v>Probabilidad</v>
      </c>
      <c r="S11" s="119" t="s">
        <v>100</v>
      </c>
      <c r="T11" s="119" t="s">
        <v>101</v>
      </c>
      <c r="U11" s="122" t="str">
        <f>IF(AND(S11="Preventivo",T11="Automático"),"50%",IF(AND(S11="Preventivo",T11="Manual"),"40%",IF(AND(S11="Detectivo",T11="Automático"),"40%",IF(AND(S11="Detectivo",T11="Manual"),"30%",IF(AND(S11="Correctivo",T11="Automático"),"35%",IF(AND(S11="Correctivo",T11="Manual"),"25%",""))))))</f>
        <v>40%</v>
      </c>
      <c r="V11" s="119" t="s">
        <v>102</v>
      </c>
      <c r="W11" s="119" t="s">
        <v>103</v>
      </c>
      <c r="X11" s="119" t="s">
        <v>104</v>
      </c>
      <c r="Y11" s="144">
        <f>IFERROR(IF(R11="Probabilidad",(J11-(+J11*U11)),IF(R11="Impacto",J11,"")),"")</f>
        <v>0.12</v>
      </c>
      <c r="Z11" s="118" t="str">
        <f>IFERROR(IF(Y11="","",IF(Y11&lt;=0.2,"Muy Baja",IF(Y11&lt;=0.4,"Baja",IF(Y11&lt;=0.6,"Media",IF(Y11&lt;=0.8,"Alta","Muy Alta"))))),"")</f>
        <v>Muy Baja</v>
      </c>
      <c r="AA11" s="122">
        <f>+Y11</f>
        <v>0.12</v>
      </c>
      <c r="AB11" s="118" t="str">
        <f>IFERROR(IF(AC11="","",IF(AC11&lt;=0.2,"Leve",IF(AC11&lt;=0.4,"Menor",IF(AC11&lt;=0.6,"Moderado",IF(AC11&lt;=0.8,"Mayor","Catastrófico"))))),"")</f>
        <v>Mayor</v>
      </c>
      <c r="AC11" s="122">
        <f>IFERROR(IF(R11="Impacto",(N11-(+N11*U11)),IF(R11="Probabilidad",N11,"")),"")</f>
        <v>0.8</v>
      </c>
      <c r="AD11" s="127"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19" t="s">
        <v>105</v>
      </c>
      <c r="AF11" s="145" t="s">
        <v>369</v>
      </c>
      <c r="AG11" s="145" t="s">
        <v>106</v>
      </c>
      <c r="AH11" s="112">
        <v>45320</v>
      </c>
      <c r="AI11" s="112">
        <v>45641</v>
      </c>
      <c r="AJ11" s="112"/>
      <c r="AK11" s="113"/>
      <c r="AL11" s="114"/>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row>
    <row r="12" spans="1:70" ht="126" x14ac:dyDescent="0.25">
      <c r="A12" s="261"/>
      <c r="B12" s="294"/>
      <c r="C12" s="255"/>
      <c r="D12" s="255"/>
      <c r="E12" s="255"/>
      <c r="F12" s="258"/>
      <c r="G12" s="255"/>
      <c r="H12" s="303"/>
      <c r="I12" s="243"/>
      <c r="J12" s="234"/>
      <c r="K12" s="240"/>
      <c r="L12" s="234">
        <f ca="1">IF(NOT(ISERROR(MATCH(K12,_xlfn.ANCHORARRAY(F35),0))),J37&amp;"Por favor no seleccionar los criterios de impacto",K12)</f>
        <v>0</v>
      </c>
      <c r="M12" s="243"/>
      <c r="N12" s="234"/>
      <c r="O12" s="237"/>
      <c r="P12" s="141">
        <v>2</v>
      </c>
      <c r="Q12" s="158" t="s">
        <v>337</v>
      </c>
      <c r="R12" s="161" t="str">
        <f>IF(OR(S12="Preventivo",S12="Detectivo"),"Probabilidad",IF(S12="Correctivo","Impacto",""))</f>
        <v>Probabilidad</v>
      </c>
      <c r="S12" s="162" t="s">
        <v>100</v>
      </c>
      <c r="T12" s="162" t="s">
        <v>101</v>
      </c>
      <c r="U12" s="163">
        <v>0.4</v>
      </c>
      <c r="V12" s="162" t="s">
        <v>102</v>
      </c>
      <c r="W12" s="162" t="s">
        <v>103</v>
      </c>
      <c r="X12" s="162" t="s">
        <v>104</v>
      </c>
      <c r="Y12" s="144">
        <f>IFERROR(IF(R12="Probabilidad",(J12-(+J12*U12)),IF(R12="Impacto",J12,"")),"")</f>
        <v>0</v>
      </c>
      <c r="Z12" s="164" t="str">
        <f>IFERROR(IF(Y12="","",IF(Y12&lt;=0.2,"Muy Baja",IF(Y12&lt;=0.4,"Baja",IF(Y12&lt;=0.6,"Media",IF(Y12&lt;=0.8,"Alta","Muy Alta"))))),"")</f>
        <v>Muy Baja</v>
      </c>
      <c r="AA12" s="122">
        <f>+Y12</f>
        <v>0</v>
      </c>
      <c r="AB12" s="164" t="str">
        <f>IFERROR(IF(AC12="","",IF(AC12&lt;=0.2,"Leve",IF(AC12&lt;=0.4,"Menor",IF(AC12&lt;=0.6,"Moderado",IF(AC12&lt;=0.8,"Mayor","Catastrófico"))))),"")</f>
        <v>Leve</v>
      </c>
      <c r="AC12" s="122">
        <f>IFERROR(IF(R12="Impacto",(N12-(+N12*U12)),IF(R12="Probabilidad",N12,"")),"")</f>
        <v>0</v>
      </c>
      <c r="AD12" s="165"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19" t="s">
        <v>105</v>
      </c>
      <c r="AF12" s="145" t="s">
        <v>370</v>
      </c>
      <c r="AG12" s="145" t="s">
        <v>106</v>
      </c>
      <c r="AH12" s="112">
        <v>45320</v>
      </c>
      <c r="AI12" s="112">
        <v>45641</v>
      </c>
      <c r="AJ12" s="112"/>
      <c r="AK12" s="113"/>
      <c r="AL12" s="11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row>
    <row r="13" spans="1:70" ht="18" customHeight="1" x14ac:dyDescent="0.25">
      <c r="A13" s="261"/>
      <c r="B13" s="294"/>
      <c r="C13" s="255"/>
      <c r="D13" s="255"/>
      <c r="E13" s="255"/>
      <c r="F13" s="258"/>
      <c r="G13" s="255"/>
      <c r="H13" s="303"/>
      <c r="I13" s="243"/>
      <c r="J13" s="234"/>
      <c r="K13" s="240"/>
      <c r="L13" s="234">
        <f ca="1">IF(NOT(ISERROR(MATCH(K13,_xlfn.ANCHORARRAY(F36),0))),J38&amp;"Por favor no seleccionar los criterios de impacto",K13)</f>
        <v>0</v>
      </c>
      <c r="M13" s="243"/>
      <c r="N13" s="234"/>
      <c r="O13" s="237"/>
      <c r="P13" s="155">
        <v>3</v>
      </c>
      <c r="Q13" s="147"/>
      <c r="R13" s="148"/>
      <c r="S13" s="115"/>
      <c r="T13" s="115"/>
      <c r="U13" s="149"/>
      <c r="V13" s="115"/>
      <c r="W13" s="115"/>
      <c r="X13" s="115"/>
      <c r="Y13" s="150"/>
      <c r="Z13" s="118" t="str">
        <f t="shared" ref="Z13:Z16" si="0">IFERROR(IF(Y13="","",IF(Y13&lt;=0.2,"Muy Baja",IF(Y13&lt;=0.4,"Baja",IF(Y13&lt;=0.6,"Media",IF(Y13&lt;=0.8,"Alta","Muy Alta"))))),"")</f>
        <v/>
      </c>
      <c r="AA13" s="151"/>
      <c r="AB13" s="152"/>
      <c r="AC13" s="151"/>
      <c r="AD13" s="153"/>
      <c r="AE13" s="154"/>
      <c r="AF13" s="113"/>
      <c r="AG13" s="156"/>
      <c r="AH13" s="157"/>
      <c r="AI13" s="157"/>
      <c r="AJ13" s="157"/>
      <c r="AK13" s="113"/>
      <c r="AL13" s="156"/>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row>
    <row r="14" spans="1:70" ht="18" customHeight="1" x14ac:dyDescent="0.25">
      <c r="A14" s="261"/>
      <c r="B14" s="294"/>
      <c r="C14" s="255"/>
      <c r="D14" s="255"/>
      <c r="E14" s="255"/>
      <c r="F14" s="258"/>
      <c r="G14" s="255"/>
      <c r="H14" s="303"/>
      <c r="I14" s="243"/>
      <c r="J14" s="234"/>
      <c r="K14" s="240"/>
      <c r="L14" s="234">
        <f ca="1">IF(NOT(ISERROR(MATCH(K14,_xlfn.ANCHORARRAY(F37),0))),J39&amp;"Por favor no seleccionar los criterios de impacto",K14)</f>
        <v>0</v>
      </c>
      <c r="M14" s="243"/>
      <c r="N14" s="234"/>
      <c r="O14" s="237"/>
      <c r="P14" s="155">
        <v>4</v>
      </c>
      <c r="Q14" s="158"/>
      <c r="R14" s="148"/>
      <c r="S14" s="115"/>
      <c r="T14" s="115"/>
      <c r="U14" s="149"/>
      <c r="V14" s="115"/>
      <c r="W14" s="115"/>
      <c r="X14" s="115"/>
      <c r="Y14" s="150"/>
      <c r="Z14" s="118" t="str">
        <f t="shared" si="0"/>
        <v/>
      </c>
      <c r="AA14" s="151"/>
      <c r="AB14" s="152"/>
      <c r="AC14" s="151"/>
      <c r="AD14" s="153"/>
      <c r="AE14" s="154"/>
      <c r="AF14" s="113"/>
      <c r="AG14" s="156"/>
      <c r="AH14" s="157"/>
      <c r="AI14" s="157"/>
      <c r="AJ14" s="157"/>
      <c r="AK14" s="113"/>
      <c r="AL14" s="156"/>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row>
    <row r="15" spans="1:70" ht="18" customHeight="1" x14ac:dyDescent="0.25">
      <c r="A15" s="261"/>
      <c r="B15" s="294"/>
      <c r="C15" s="255"/>
      <c r="D15" s="255"/>
      <c r="E15" s="255"/>
      <c r="F15" s="258"/>
      <c r="G15" s="255"/>
      <c r="H15" s="303"/>
      <c r="I15" s="243"/>
      <c r="J15" s="234"/>
      <c r="K15" s="240"/>
      <c r="L15" s="234">
        <f ca="1">IF(NOT(ISERROR(MATCH(K15,_xlfn.ANCHORARRAY(F38),0))),J40&amp;"Por favor no seleccionar los criterios de impacto",K15)</f>
        <v>0</v>
      </c>
      <c r="M15" s="243"/>
      <c r="N15" s="234"/>
      <c r="O15" s="237"/>
      <c r="P15" s="155">
        <v>5</v>
      </c>
      <c r="Q15" s="158"/>
      <c r="R15" s="148" t="str">
        <f t="shared" ref="R15:R16" si="1">IF(OR(S15="Preventivo",S15="Detectivo"),"Probabilidad",IF(S15="Correctivo","Impacto",""))</f>
        <v/>
      </c>
      <c r="S15" s="115"/>
      <c r="T15" s="115"/>
      <c r="U15" s="149" t="str">
        <f t="shared" ref="U15:U16" si="2">IF(AND(S15="Preventivo",T15="Automático"),"50%",IF(AND(S15="Preventivo",T15="Manual"),"40%",IF(AND(S15="Detectivo",T15="Automático"),"40%",IF(AND(S15="Detectivo",T15="Manual"),"30%",IF(AND(S15="Correctivo",T15="Automático"),"35%",IF(AND(S15="Correctivo",T15="Manual"),"25%",""))))))</f>
        <v/>
      </c>
      <c r="V15" s="115"/>
      <c r="W15" s="115"/>
      <c r="X15" s="115"/>
      <c r="Y15" s="150" t="str">
        <f t="shared" ref="Y15:Y16" si="3">IFERROR(IF(AND(R14="Probabilidad",R15="Probabilidad"),(AA14-(+AA14*U15)),IF(AND(R14="Impacto",R15="Probabilidad"),(AA13-(+AA13*U15)),IF(R15="Impacto",AA14,""))),"")</f>
        <v/>
      </c>
      <c r="Z15" s="118" t="str">
        <f t="shared" si="0"/>
        <v/>
      </c>
      <c r="AA15" s="151" t="str">
        <f t="shared" ref="AA15:AA16" si="4">+Y15</f>
        <v/>
      </c>
      <c r="AB15" s="152" t="str">
        <f t="shared" ref="AB15:AB35" si="5">IFERROR(IF(AC15="","",IF(AC15&lt;=0.2,"Leve",IF(AC15&lt;=0.4,"Menor",IF(AC15&lt;=0.6,"Moderado",IF(AC15&lt;=0.8,"Mayor","Catastrófico"))))),"")</f>
        <v/>
      </c>
      <c r="AC15" s="151" t="str">
        <f t="shared" ref="AC15:AC16" si="6">IFERROR(IF(AND(R14="Impacto",R15="Impacto"),(AC14-(+AC14*U15)),IF(AND(R14="Probabilidad",R15="Impacto"),(AC13-(+AC13*U15)),IF(R15="Probabilidad",AC14,""))),"")</f>
        <v/>
      </c>
      <c r="AD15" s="153" t="str">
        <f t="shared" ref="AD15:AD16" si="7">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54"/>
      <c r="AF15" s="113"/>
      <c r="AG15" s="156"/>
      <c r="AH15" s="157"/>
      <c r="AI15" s="157"/>
      <c r="AJ15" s="157"/>
      <c r="AK15" s="113"/>
      <c r="AL15" s="156"/>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row>
    <row r="16" spans="1:70" ht="18" customHeight="1" x14ac:dyDescent="0.25">
      <c r="A16" s="262"/>
      <c r="B16" s="295"/>
      <c r="C16" s="256"/>
      <c r="D16" s="256"/>
      <c r="E16" s="256"/>
      <c r="F16" s="259"/>
      <c r="G16" s="256"/>
      <c r="H16" s="304"/>
      <c r="I16" s="244"/>
      <c r="J16" s="235"/>
      <c r="K16" s="241"/>
      <c r="L16" s="235">
        <f ca="1">IF(NOT(ISERROR(MATCH(K16,_xlfn.ANCHORARRAY(F39),0))),J47&amp;"Por favor no seleccionar los criterios de impacto",K16)</f>
        <v>0</v>
      </c>
      <c r="M16" s="244"/>
      <c r="N16" s="235"/>
      <c r="O16" s="238"/>
      <c r="P16" s="155">
        <v>6</v>
      </c>
      <c r="Q16" s="158"/>
      <c r="R16" s="148" t="str">
        <f t="shared" si="1"/>
        <v/>
      </c>
      <c r="S16" s="115"/>
      <c r="T16" s="115"/>
      <c r="U16" s="149" t="str">
        <f t="shared" si="2"/>
        <v/>
      </c>
      <c r="V16" s="115"/>
      <c r="W16" s="115"/>
      <c r="X16" s="115"/>
      <c r="Y16" s="150" t="str">
        <f t="shared" si="3"/>
        <v/>
      </c>
      <c r="Z16" s="118" t="str">
        <f t="shared" si="0"/>
        <v/>
      </c>
      <c r="AA16" s="151" t="str">
        <f t="shared" si="4"/>
        <v/>
      </c>
      <c r="AB16" s="152" t="str">
        <f t="shared" si="5"/>
        <v/>
      </c>
      <c r="AC16" s="151" t="str">
        <f t="shared" si="6"/>
        <v/>
      </c>
      <c r="AD16" s="153" t="str">
        <f t="shared" si="7"/>
        <v/>
      </c>
      <c r="AE16" s="154"/>
      <c r="AF16" s="113"/>
      <c r="AG16" s="156"/>
      <c r="AH16" s="157"/>
      <c r="AI16" s="157"/>
      <c r="AJ16" s="157"/>
      <c r="AK16" s="113"/>
      <c r="AL16" s="156"/>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row>
    <row r="17" spans="1:70" ht="131.25" customHeight="1" x14ac:dyDescent="0.25">
      <c r="A17" s="260">
        <v>2</v>
      </c>
      <c r="B17" s="337" t="s">
        <v>366</v>
      </c>
      <c r="C17" s="245" t="s">
        <v>93</v>
      </c>
      <c r="D17" s="248" t="s">
        <v>341</v>
      </c>
      <c r="E17" s="245" t="s">
        <v>95</v>
      </c>
      <c r="F17" s="245" t="s">
        <v>342</v>
      </c>
      <c r="G17" s="248" t="s">
        <v>97</v>
      </c>
      <c r="H17" s="251">
        <v>3</v>
      </c>
      <c r="I17" s="242" t="str">
        <f>IF(H17&lt;=0,"",IF(H17&lt;=2,"Muy Baja",IF(H17&lt;=24,"Baja",IF(H17&lt;=500,"Media",IF(H17&lt;=5000,"Alta","Muy Alta")))))</f>
        <v>Baja</v>
      </c>
      <c r="J17" s="233">
        <f>IF(I17="","",IF(I17="Muy Baja",0.2,IF(I17="Baja",0.4,IF(I17="Media",0.6,IF(I17="Alta",0.8,IF(I17="Muy Alta",1,))))))</f>
        <v>0.4</v>
      </c>
      <c r="K17" s="239" t="s">
        <v>159</v>
      </c>
      <c r="L17" s="213" t="str">
        <f>IF(NOT(ISERROR(MATCH(K17,'[1]Tabla Impacto'!$B$225:$B$227,0))),'[1]Tabla Impacto'!$G$227&amp;"Por favor no seleccionar los criterios de impacto(Afectación Económica o presupuestal y Pérdida Reputacional)",K17)</f>
        <v xml:space="preserve">     El riesgo afecta la imagen de la entidad internamente, de conocimiento general, nivel interno, de junta dircetiva y accionistas y/o de provedores</v>
      </c>
      <c r="M17" s="242" t="str">
        <f>IF(OR(L17='[1]Tabla Impacto'!$C$15,L17='[1]Tabla Impacto'!$E$15),"Leve",IF(OR(L17='[1]Tabla Impacto'!$C$16,L17='[1]Tabla Impacto'!$E$16),"Menor",IF(OR(L17='[1]Tabla Impacto'!$C$17,L17='[1]Tabla Impacto'!$E$17),"Moderado",IF(OR(L17='[1]Tabla Impacto'!$C$18,L17='[1]Tabla Impacto'!$E$18),"Mayor",IF(OR(L17='[1]Tabla Impacto'!$C$19,L17='[1]Tabla Impacto'!$E$19),"Catastrófico","")))))</f>
        <v>Menor</v>
      </c>
      <c r="N17" s="233">
        <f t="shared" ref="N17" si="8">IF(M17="","",IF(M17="Leve",0.2,IF(M17="Menor",0.4,IF(M17="Moderado",0.6,IF(M17="Mayor",0.8,IF(M17="Catastrófico",1,))))))</f>
        <v>0.4</v>
      </c>
      <c r="O17" s="236" t="str">
        <f t="shared" ref="O17" si="9">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141">
        <v>1</v>
      </c>
      <c r="Q17" s="158" t="s">
        <v>343</v>
      </c>
      <c r="R17" s="161" t="s">
        <v>110</v>
      </c>
      <c r="S17" s="162" t="s">
        <v>338</v>
      </c>
      <c r="T17" s="162" t="s">
        <v>101</v>
      </c>
      <c r="U17" s="163" t="str">
        <f t="shared" ref="U17" si="10">IF(AND(S17="Preventivo",T17="Automático"),"50%",IF(AND(S17="Preventivo",T17="Manual"),"40%",IF(AND(S17="Detectivo",T17="Automático"),"40%",IF(AND(S17="Detectivo",T17="Manual"),"30%",IF(AND(S17="Correctivo",T17="Automático"),"35%",IF(AND(S17="Correctivo",T17="Manual"),"25%",""))))))</f>
        <v>40%</v>
      </c>
      <c r="V17" s="162" t="s">
        <v>102</v>
      </c>
      <c r="W17" s="162" t="s">
        <v>103</v>
      </c>
      <c r="X17" s="162" t="s">
        <v>104</v>
      </c>
      <c r="Y17" s="144">
        <f>IFERROR(IF(AND(R28="Probabilidad",R17="Probabilidad"),(AA28-(+AA28*U17)),IF(R17="Probabilidad",(J28-(+J28*U17)),IF(R17="Impacto",AA28,""))),"")</f>
        <v>0</v>
      </c>
      <c r="Z17" s="164" t="str">
        <f t="shared" ref="Z17" si="11">IFERROR(IF(Y17="","",IF(Y17&lt;=0.2,"Muy Baja",IF(Y17&lt;=0.4,"Baja",IF(Y17&lt;=0.6,"Media",IF(Y17&lt;=0.8,"Alta","Muy Alta"))))),"")</f>
        <v>Muy Baja</v>
      </c>
      <c r="AA17" s="122">
        <f t="shared" ref="AA17" si="12">+Y17</f>
        <v>0</v>
      </c>
      <c r="AB17" s="164" t="str">
        <f t="shared" ref="AB17" si="13">IFERROR(IF(AC17="","",IF(AC17&lt;=0.2,"Leve",IF(AC17&lt;=0.4,"Menor",IF(AC17&lt;=0.6,"Moderado",IF(AC17&lt;=0.8,"Mayor","Catastrófico"))))),"")</f>
        <v>Leve</v>
      </c>
      <c r="AC17" s="122">
        <f>IFERROR(IF(AND(R28="Impacto",R17="Impacto"),(AC28-(+AC28*U17)),IF(R17="Impacto",(N28-(+N28*U17)),IF(R17="Probabilidad",AC28,""))),"")</f>
        <v>0</v>
      </c>
      <c r="AD17" s="165" t="str">
        <f t="shared" ref="AD17" si="14">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Bajo</v>
      </c>
      <c r="AE17" s="119" t="s">
        <v>105</v>
      </c>
      <c r="AF17" s="145" t="s">
        <v>344</v>
      </c>
      <c r="AG17" s="145" t="s">
        <v>339</v>
      </c>
      <c r="AH17" s="112">
        <v>45320</v>
      </c>
      <c r="AI17" s="112">
        <v>45641</v>
      </c>
      <c r="AJ17" s="157"/>
      <c r="AK17" s="113"/>
      <c r="AL17" s="156"/>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row>
    <row r="18" spans="1:70" ht="18" customHeight="1" x14ac:dyDescent="0.25">
      <c r="A18" s="261"/>
      <c r="B18" s="338"/>
      <c r="C18" s="246"/>
      <c r="D18" s="249"/>
      <c r="E18" s="246"/>
      <c r="F18" s="246"/>
      <c r="G18" s="249"/>
      <c r="H18" s="252"/>
      <c r="I18" s="243"/>
      <c r="J18" s="234"/>
      <c r="K18" s="240"/>
      <c r="L18" s="214">
        <f ca="1">IF(NOT(ISERROR(MATCH(K18,_xlfn.ANCHORARRAY(F65),0))),J67&amp;"Por favor no seleccionar los criterios de impacto",K18)</f>
        <v>0</v>
      </c>
      <c r="M18" s="243"/>
      <c r="N18" s="234"/>
      <c r="O18" s="237"/>
      <c r="P18" s="141">
        <v>2</v>
      </c>
      <c r="Q18" s="158"/>
      <c r="R18" s="148"/>
      <c r="S18" s="115"/>
      <c r="T18" s="115"/>
      <c r="U18" s="149"/>
      <c r="V18" s="115"/>
      <c r="W18" s="115"/>
      <c r="X18" s="115"/>
      <c r="Y18" s="150"/>
      <c r="Z18" s="152"/>
      <c r="AA18" s="151"/>
      <c r="AB18" s="152"/>
      <c r="AC18" s="151"/>
      <c r="AD18" s="153"/>
      <c r="AE18" s="154"/>
      <c r="AF18" s="113"/>
      <c r="AG18" s="156"/>
      <c r="AH18" s="157"/>
      <c r="AI18" s="157"/>
      <c r="AJ18" s="157"/>
      <c r="AK18" s="113"/>
      <c r="AL18" s="156"/>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row>
    <row r="19" spans="1:70" ht="18" customHeight="1" x14ac:dyDescent="0.25">
      <c r="A19" s="261"/>
      <c r="B19" s="338"/>
      <c r="C19" s="246"/>
      <c r="D19" s="249"/>
      <c r="E19" s="246"/>
      <c r="F19" s="246"/>
      <c r="G19" s="249"/>
      <c r="H19" s="252"/>
      <c r="I19" s="243"/>
      <c r="J19" s="234"/>
      <c r="K19" s="240"/>
      <c r="L19" s="214">
        <f ca="1">IF(NOT(ISERROR(MATCH(K19,_xlfn.ANCHORARRAY(F66),0))),J68&amp;"Por favor no seleccionar los criterios de impacto",K19)</f>
        <v>0</v>
      </c>
      <c r="M19" s="243"/>
      <c r="N19" s="234"/>
      <c r="O19" s="237"/>
      <c r="P19" s="141">
        <v>3</v>
      </c>
      <c r="Q19" s="147"/>
      <c r="R19" s="148"/>
      <c r="S19" s="115"/>
      <c r="T19" s="115"/>
      <c r="U19" s="149"/>
      <c r="V19" s="115"/>
      <c r="W19" s="115"/>
      <c r="X19" s="115"/>
      <c r="Y19" s="150"/>
      <c r="Z19" s="152"/>
      <c r="AA19" s="151"/>
      <c r="AB19" s="152"/>
      <c r="AC19" s="151"/>
      <c r="AD19" s="153"/>
      <c r="AE19" s="154"/>
      <c r="AF19" s="113"/>
      <c r="AG19" s="156"/>
      <c r="AH19" s="157"/>
      <c r="AI19" s="157"/>
      <c r="AJ19" s="157"/>
      <c r="AK19" s="113"/>
      <c r="AL19" s="156"/>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row>
    <row r="20" spans="1:70" ht="18" customHeight="1" x14ac:dyDescent="0.25">
      <c r="A20" s="261"/>
      <c r="B20" s="338"/>
      <c r="C20" s="246"/>
      <c r="D20" s="249"/>
      <c r="E20" s="246"/>
      <c r="F20" s="246"/>
      <c r="G20" s="249"/>
      <c r="H20" s="252"/>
      <c r="I20" s="243"/>
      <c r="J20" s="234"/>
      <c r="K20" s="240"/>
      <c r="L20" s="214">
        <f ca="1">IF(NOT(ISERROR(MATCH(K20,_xlfn.ANCHORARRAY(F67),0))),J69&amp;"Por favor no seleccionar los criterios de impacto",K20)</f>
        <v>0</v>
      </c>
      <c r="M20" s="243"/>
      <c r="N20" s="234"/>
      <c r="O20" s="237"/>
      <c r="P20" s="141">
        <v>4</v>
      </c>
      <c r="Q20" s="158"/>
      <c r="R20" s="148"/>
      <c r="S20" s="115"/>
      <c r="T20" s="115"/>
      <c r="U20" s="149"/>
      <c r="V20" s="115"/>
      <c r="W20" s="115"/>
      <c r="X20" s="115"/>
      <c r="Y20" s="150"/>
      <c r="Z20" s="152"/>
      <c r="AA20" s="151"/>
      <c r="AB20" s="152"/>
      <c r="AC20" s="151"/>
      <c r="AD20" s="153"/>
      <c r="AE20" s="154"/>
      <c r="AF20" s="113"/>
      <c r="AG20" s="156"/>
      <c r="AH20" s="157"/>
      <c r="AI20" s="157"/>
      <c r="AJ20" s="157"/>
      <c r="AK20" s="113"/>
      <c r="AL20" s="156"/>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row>
    <row r="21" spans="1:70" ht="27.75" customHeight="1" x14ac:dyDescent="0.25">
      <c r="A21" s="261"/>
      <c r="B21" s="338"/>
      <c r="C21" s="246"/>
      <c r="D21" s="249"/>
      <c r="E21" s="246"/>
      <c r="F21" s="246"/>
      <c r="G21" s="249"/>
      <c r="H21" s="252"/>
      <c r="I21" s="243"/>
      <c r="J21" s="234"/>
      <c r="K21" s="240"/>
      <c r="L21" s="214">
        <f ca="1">IF(NOT(ISERROR(MATCH(K21,_xlfn.ANCHORARRAY(F68),0))),J70&amp;"Por favor no seleccionar los criterios de impacto",K21)</f>
        <v>0</v>
      </c>
      <c r="M21" s="243"/>
      <c r="N21" s="234"/>
      <c r="O21" s="237"/>
      <c r="P21" s="141">
        <v>5</v>
      </c>
      <c r="Q21" s="158"/>
      <c r="R21" s="148"/>
      <c r="S21" s="115"/>
      <c r="T21" s="115"/>
      <c r="U21" s="149"/>
      <c r="V21" s="115"/>
      <c r="W21" s="115"/>
      <c r="X21" s="115"/>
      <c r="Y21" s="150"/>
      <c r="Z21" s="152"/>
      <c r="AA21" s="151"/>
      <c r="AB21" s="152"/>
      <c r="AC21" s="151"/>
      <c r="AD21" s="153"/>
      <c r="AE21" s="154"/>
      <c r="AF21" s="113"/>
      <c r="AG21" s="156"/>
      <c r="AH21" s="157"/>
      <c r="AI21" s="157"/>
      <c r="AJ21" s="157"/>
      <c r="AK21" s="113"/>
      <c r="AL21" s="156"/>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row>
    <row r="22" spans="1:70" ht="57.75" customHeight="1" x14ac:dyDescent="0.25">
      <c r="A22" s="262"/>
      <c r="B22" s="339"/>
      <c r="C22" s="247"/>
      <c r="D22" s="250"/>
      <c r="E22" s="247"/>
      <c r="F22" s="247"/>
      <c r="G22" s="250"/>
      <c r="H22" s="253"/>
      <c r="I22" s="244"/>
      <c r="J22" s="235"/>
      <c r="K22" s="241"/>
      <c r="L22" s="215">
        <f ca="1">IF(NOT(ISERROR(MATCH(K22,_xlfn.ANCHORARRAY(F69),0))),J71&amp;"Por favor no seleccionar los criterios de impacto",K22)</f>
        <v>0</v>
      </c>
      <c r="M22" s="244"/>
      <c r="N22" s="235"/>
      <c r="O22" s="238"/>
      <c r="P22" s="141">
        <v>6</v>
      </c>
      <c r="Q22" s="158"/>
      <c r="R22" s="148"/>
      <c r="S22" s="115"/>
      <c r="T22" s="115"/>
      <c r="U22" s="149"/>
      <c r="V22" s="115"/>
      <c r="W22" s="115"/>
      <c r="X22" s="115"/>
      <c r="Y22" s="150"/>
      <c r="Z22" s="152"/>
      <c r="AA22" s="151"/>
      <c r="AB22" s="152"/>
      <c r="AC22" s="151"/>
      <c r="AD22" s="153"/>
      <c r="AE22" s="154"/>
      <c r="AF22" s="113"/>
      <c r="AG22" s="156"/>
      <c r="AH22" s="157"/>
      <c r="AI22" s="157"/>
      <c r="AJ22" s="157"/>
      <c r="AK22" s="113"/>
      <c r="AL22" s="156"/>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row>
    <row r="23" spans="1:70" ht="78" x14ac:dyDescent="0.25">
      <c r="A23" s="260">
        <v>3</v>
      </c>
      <c r="B23" s="293" t="s">
        <v>361</v>
      </c>
      <c r="C23" s="245" t="s">
        <v>93</v>
      </c>
      <c r="D23" s="245" t="s">
        <v>249</v>
      </c>
      <c r="E23" s="245" t="s">
        <v>95</v>
      </c>
      <c r="F23" s="245" t="s">
        <v>340</v>
      </c>
      <c r="G23" s="248" t="s">
        <v>97</v>
      </c>
      <c r="H23" s="251">
        <v>3</v>
      </c>
      <c r="I23" s="242" t="str">
        <f>IF(H23&lt;=0,"",IF(H23&lt;=2,"Muy Baja",IF(H23&lt;=24,"Baja",IF(H23&lt;=500,"Media",IF(H23&lt;=5000,"Alta","Muy Alta")))))</f>
        <v>Baja</v>
      </c>
      <c r="J23" s="233">
        <f>IF(I23="","",IF(I23="Muy Baja",0.2,IF(I23="Baja",0.4,IF(I23="Media",0.6,IF(I23="Alta",0.8,IF(I23="Muy Alta",1,))))))</f>
        <v>0.4</v>
      </c>
      <c r="K23" s="239" t="s">
        <v>159</v>
      </c>
      <c r="L23" s="233" t="str">
        <f>IF(NOT(ISERROR(MATCH(K23,'[1]Tabla Impacto'!$B$225:$B$227,0))),'[1]Tabla Impacto'!$G$227&amp;"Por favor no seleccionar los criterios de impacto(Afectación Económica o presupuestal y Pérdida Reputacional)",K23)</f>
        <v xml:space="preserve">     El riesgo afecta la imagen de la entidad internamente, de conocimiento general, nivel interno, de junta dircetiva y accionistas y/o de provedores</v>
      </c>
      <c r="M23" s="242" t="str">
        <f>IF(OR(L23='[1]Tabla Impacto'!$C$15,L23='[1]Tabla Impacto'!$E$15),"Leve",IF(OR(L23='[1]Tabla Impacto'!$C$16,L23='[1]Tabla Impacto'!$E$16),"Menor",IF(OR(L23='[1]Tabla Impacto'!$C$17,L23='[1]Tabla Impacto'!$E$17),"Moderado",IF(OR(L23='[1]Tabla Impacto'!$C$18,L23='[1]Tabla Impacto'!$E$18),"Mayor",IF(OR(L23='[1]Tabla Impacto'!$C$19,L23='[1]Tabla Impacto'!$E$19),"Catastrófico","")))))</f>
        <v>Menor</v>
      </c>
      <c r="N23" s="233">
        <f t="shared" ref="N23" si="15">IF(M23="","",IF(M23="Leve",0.2,IF(M23="Menor",0.4,IF(M23="Moderado",0.6,IF(M23="Mayor",0.8,IF(M23="Catastrófico",1,))))))</f>
        <v>0.4</v>
      </c>
      <c r="O23" s="236" t="str">
        <f t="shared" ref="O23" si="16">IF(OR(AND(I23="Muy Baja",M23="Leve"),AND(I23="Muy Baja",M23="Menor"),AND(I23="Baja",M23="Leve")),"Bajo",IF(OR(AND(I23="Muy baja",M23="Moderado"),AND(I23="Baja",M23="Menor"),AND(I23="Baja",M23="Moderado"),AND(I23="Media",M23="Leve"),AND(I23="Media",M23="Menor"),AND(I23="Media",M23="Moderado"),AND(I23="Alta",M23="Leve"),AND(I23="Alta",M23="Menor")),"Moderado",IF(OR(AND(I23="Muy Baja",M23="Mayor"),AND(I23="Baja",M23="Mayor"),AND(I23="Media",M23="Mayor"),AND(I23="Alta",M23="Moderado"),AND(I23="Alta",M23="Mayor"),AND(I23="Muy Alta",M23="Leve"),AND(I23="Muy Alta",M23="Menor"),AND(I23="Muy Alta",M23="Moderado"),AND(I23="Muy Alta",M23="Mayor")),"Alto",IF(OR(AND(I23="Muy Baja",M23="Catastrófico"),AND(I23="Baja",M23="Catastrófico"),AND(I23="Media",M23="Catastrófico"),AND(I23="Alta",M23="Catastrófico"),AND(I23="Muy Alta",M23="Catastrófico")),"Extremo",""))))</f>
        <v>Moderado</v>
      </c>
      <c r="P23" s="155">
        <v>1</v>
      </c>
      <c r="Q23" s="158" t="s">
        <v>343</v>
      </c>
      <c r="R23" s="161" t="s">
        <v>110</v>
      </c>
      <c r="S23" s="162" t="s">
        <v>338</v>
      </c>
      <c r="T23" s="162" t="s">
        <v>101</v>
      </c>
      <c r="U23" s="163" t="str">
        <f t="shared" ref="U23" si="17">IF(AND(S23="Preventivo",T23="Automático"),"50%",IF(AND(S23="Preventivo",T23="Manual"),"40%",IF(AND(S23="Detectivo",T23="Automático"),"40%",IF(AND(S23="Detectivo",T23="Manual"),"30%",IF(AND(S23="Correctivo",T23="Automático"),"35%",IF(AND(S23="Correctivo",T23="Manual"),"25%",""))))))</f>
        <v>40%</v>
      </c>
      <c r="V23" s="162" t="s">
        <v>102</v>
      </c>
      <c r="W23" s="162" t="s">
        <v>103</v>
      </c>
      <c r="X23" s="162" t="s">
        <v>104</v>
      </c>
      <c r="Y23" s="144">
        <f>IFERROR(IF(AND(R58="Probabilidad",R23="Probabilidad"),(AA58-(+AA58*U23)),IF(R23="Probabilidad",(J58-(+J58*U23)),IF(R23="Impacto",AA58,""))),"")</f>
        <v>0</v>
      </c>
      <c r="Z23" s="164" t="str">
        <f t="shared" ref="Z23" si="18">IFERROR(IF(Y23="","",IF(Y23&lt;=0.2,"Muy Baja",IF(Y23&lt;=0.4,"Baja",IF(Y23&lt;=0.6,"Media",IF(Y23&lt;=0.8,"Alta","Muy Alta"))))),"")</f>
        <v>Muy Baja</v>
      </c>
      <c r="AA23" s="122">
        <f t="shared" ref="AA23" si="19">+Y23</f>
        <v>0</v>
      </c>
      <c r="AB23" s="164" t="str">
        <f t="shared" ref="AB23" si="20">IFERROR(IF(AC23="","",IF(AC23&lt;=0.2,"Leve",IF(AC23&lt;=0.4,"Menor",IF(AC23&lt;=0.6,"Moderado",IF(AC23&lt;=0.8,"Mayor","Catastrófico"))))),"")</f>
        <v>Leve</v>
      </c>
      <c r="AC23" s="122">
        <f>IFERROR(IF(AND(R58="Impacto",R23="Impacto"),(AC58-(+AC58*U23)),IF(R23="Impacto",(N58-(+N58*U23)),IF(R23="Probabilidad",AC58,""))),"")</f>
        <v>0</v>
      </c>
      <c r="AD23" s="165" t="str">
        <f t="shared" ref="AD23" si="2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Bajo</v>
      </c>
      <c r="AE23" s="119" t="s">
        <v>105</v>
      </c>
      <c r="AF23" s="145" t="s">
        <v>344</v>
      </c>
      <c r="AG23" s="145" t="s">
        <v>339</v>
      </c>
      <c r="AH23" s="112">
        <v>45320</v>
      </c>
      <c r="AI23" s="112">
        <v>45641</v>
      </c>
      <c r="AJ23" s="157"/>
      <c r="AK23" s="113"/>
      <c r="AL23" s="156"/>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row>
    <row r="24" spans="1:70" ht="18" customHeight="1" x14ac:dyDescent="0.25">
      <c r="A24" s="261"/>
      <c r="B24" s="294"/>
      <c r="C24" s="246"/>
      <c r="D24" s="246"/>
      <c r="E24" s="246"/>
      <c r="F24" s="246"/>
      <c r="G24" s="249"/>
      <c r="H24" s="252"/>
      <c r="I24" s="243"/>
      <c r="J24" s="234"/>
      <c r="K24" s="240"/>
      <c r="L24" s="234">
        <f ca="1">IF(NOT(ISERROR(MATCH(K24,_xlfn.ANCHORARRAY(F59),0))),J61&amp;"Por favor no seleccionar los criterios de impacto",K24)</f>
        <v>0</v>
      </c>
      <c r="M24" s="243"/>
      <c r="N24" s="234"/>
      <c r="O24" s="237"/>
      <c r="P24" s="155">
        <v>2</v>
      </c>
      <c r="Q24" s="158"/>
      <c r="R24" s="161"/>
      <c r="S24" s="162"/>
      <c r="T24" s="162"/>
      <c r="U24" s="163"/>
      <c r="V24" s="162"/>
      <c r="W24" s="162"/>
      <c r="X24" s="162"/>
      <c r="Y24" s="144"/>
      <c r="Z24" s="164"/>
      <c r="AA24" s="122"/>
      <c r="AB24" s="164"/>
      <c r="AC24" s="122"/>
      <c r="AD24" s="165"/>
      <c r="AE24" s="119"/>
      <c r="AF24" s="113"/>
      <c r="AG24" s="156"/>
      <c r="AH24" s="157"/>
      <c r="AI24" s="157"/>
      <c r="AJ24" s="157"/>
      <c r="AK24" s="113"/>
      <c r="AL24" s="156"/>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row>
    <row r="25" spans="1:70" ht="18" customHeight="1" x14ac:dyDescent="0.25">
      <c r="A25" s="261"/>
      <c r="B25" s="294"/>
      <c r="C25" s="246"/>
      <c r="D25" s="246"/>
      <c r="E25" s="246"/>
      <c r="F25" s="246"/>
      <c r="G25" s="249"/>
      <c r="H25" s="252"/>
      <c r="I25" s="243"/>
      <c r="J25" s="234"/>
      <c r="K25" s="240"/>
      <c r="L25" s="234">
        <f ca="1">IF(NOT(ISERROR(MATCH(K25,_xlfn.ANCHORARRAY(F60),0))),J62&amp;"Por favor no seleccionar los criterios de impacto",K25)</f>
        <v>0</v>
      </c>
      <c r="M25" s="243"/>
      <c r="N25" s="234"/>
      <c r="O25" s="237"/>
      <c r="P25" s="155">
        <v>3</v>
      </c>
      <c r="Q25" s="147"/>
      <c r="R25" s="148"/>
      <c r="S25" s="115"/>
      <c r="T25" s="115"/>
      <c r="U25" s="149"/>
      <c r="V25" s="115"/>
      <c r="W25" s="115"/>
      <c r="X25" s="115"/>
      <c r="Y25" s="150"/>
      <c r="Z25" s="152"/>
      <c r="AA25" s="151"/>
      <c r="AB25" s="152"/>
      <c r="AC25" s="151"/>
      <c r="AD25" s="153"/>
      <c r="AE25" s="154"/>
      <c r="AF25" s="113"/>
      <c r="AG25" s="156"/>
      <c r="AH25" s="157"/>
      <c r="AI25" s="157"/>
      <c r="AJ25" s="157"/>
      <c r="AK25" s="113"/>
      <c r="AL25" s="156"/>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row>
    <row r="26" spans="1:70" ht="18" customHeight="1" x14ac:dyDescent="0.25">
      <c r="A26" s="261"/>
      <c r="B26" s="294"/>
      <c r="C26" s="246"/>
      <c r="D26" s="246"/>
      <c r="E26" s="246"/>
      <c r="F26" s="246"/>
      <c r="G26" s="249"/>
      <c r="H26" s="252"/>
      <c r="I26" s="243"/>
      <c r="J26" s="234"/>
      <c r="K26" s="240"/>
      <c r="L26" s="234">
        <f ca="1">IF(NOT(ISERROR(MATCH(K26,_xlfn.ANCHORARRAY(F61),0))),J63&amp;"Por favor no seleccionar los criterios de impacto",K26)</f>
        <v>0</v>
      </c>
      <c r="M26" s="243"/>
      <c r="N26" s="234"/>
      <c r="O26" s="237"/>
      <c r="P26" s="155">
        <v>4</v>
      </c>
      <c r="Q26" s="158"/>
      <c r="R26" s="148"/>
      <c r="S26" s="115"/>
      <c r="T26" s="115"/>
      <c r="U26" s="149"/>
      <c r="V26" s="115"/>
      <c r="W26" s="115"/>
      <c r="X26" s="115"/>
      <c r="Y26" s="150"/>
      <c r="Z26" s="152"/>
      <c r="AA26" s="151"/>
      <c r="AB26" s="152"/>
      <c r="AC26" s="151"/>
      <c r="AD26" s="153"/>
      <c r="AE26" s="154"/>
      <c r="AF26" s="113"/>
      <c r="AG26" s="156"/>
      <c r="AH26" s="157"/>
      <c r="AI26" s="157"/>
      <c r="AJ26" s="157"/>
      <c r="AK26" s="113"/>
      <c r="AL26" s="156"/>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row>
    <row r="27" spans="1:70" ht="18" customHeight="1" x14ac:dyDescent="0.25">
      <c r="A27" s="261"/>
      <c r="B27" s="294"/>
      <c r="C27" s="246"/>
      <c r="D27" s="246"/>
      <c r="E27" s="246"/>
      <c r="F27" s="246"/>
      <c r="G27" s="249"/>
      <c r="H27" s="252"/>
      <c r="I27" s="243"/>
      <c r="J27" s="234"/>
      <c r="K27" s="240"/>
      <c r="L27" s="234">
        <f ca="1">IF(NOT(ISERROR(MATCH(K27,_xlfn.ANCHORARRAY(F62),0))),J64&amp;"Por favor no seleccionar los criterios de impacto",K27)</f>
        <v>0</v>
      </c>
      <c r="M27" s="243"/>
      <c r="N27" s="234"/>
      <c r="O27" s="237"/>
      <c r="P27" s="155">
        <v>5</v>
      </c>
      <c r="Q27" s="158"/>
      <c r="R27" s="148"/>
      <c r="S27" s="115"/>
      <c r="T27" s="115"/>
      <c r="U27" s="149"/>
      <c r="V27" s="115"/>
      <c r="W27" s="115"/>
      <c r="X27" s="115"/>
      <c r="Y27" s="150"/>
      <c r="Z27" s="152"/>
      <c r="AA27" s="151"/>
      <c r="AB27" s="152"/>
      <c r="AC27" s="151"/>
      <c r="AD27" s="153"/>
      <c r="AE27" s="154"/>
      <c r="AF27" s="113"/>
      <c r="AG27" s="156"/>
      <c r="AH27" s="157"/>
      <c r="AI27" s="157"/>
      <c r="AJ27" s="157"/>
      <c r="AK27" s="113"/>
      <c r="AL27" s="156"/>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row>
    <row r="28" spans="1:70" ht="71.25" customHeight="1" x14ac:dyDescent="0.25">
      <c r="A28" s="262"/>
      <c r="B28" s="295"/>
      <c r="C28" s="247"/>
      <c r="D28" s="247"/>
      <c r="E28" s="247"/>
      <c r="F28" s="247"/>
      <c r="G28" s="250"/>
      <c r="H28" s="253"/>
      <c r="I28" s="244"/>
      <c r="J28" s="235"/>
      <c r="K28" s="241"/>
      <c r="L28" s="235">
        <f ca="1">IF(NOT(ISERROR(MATCH(K28,_xlfn.ANCHORARRAY(F63),0))),J65&amp;"Por favor no seleccionar los criterios de impacto",K28)</f>
        <v>0</v>
      </c>
      <c r="M28" s="244"/>
      <c r="N28" s="235"/>
      <c r="O28" s="238"/>
      <c r="P28" s="155">
        <v>6</v>
      </c>
      <c r="Q28" s="158"/>
      <c r="R28" s="148"/>
      <c r="S28" s="115"/>
      <c r="T28" s="115"/>
      <c r="U28" s="149"/>
      <c r="V28" s="115"/>
      <c r="W28" s="115"/>
      <c r="X28" s="115"/>
      <c r="Y28" s="150"/>
      <c r="Z28" s="152"/>
      <c r="AA28" s="151"/>
      <c r="AB28" s="152"/>
      <c r="AC28" s="151"/>
      <c r="AD28" s="153"/>
      <c r="AE28" s="154"/>
      <c r="AF28" s="113"/>
      <c r="AG28" s="156"/>
      <c r="AH28" s="157"/>
      <c r="AI28" s="157"/>
      <c r="AJ28" s="157"/>
      <c r="AK28" s="113"/>
      <c r="AL28" s="156"/>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row>
    <row r="29" spans="1:70" ht="153" customHeight="1" x14ac:dyDescent="0.25">
      <c r="A29" s="260">
        <v>4</v>
      </c>
      <c r="B29" s="293" t="s">
        <v>349</v>
      </c>
      <c r="C29" s="254" t="s">
        <v>93</v>
      </c>
      <c r="D29" s="257" t="s">
        <v>107</v>
      </c>
      <c r="E29" s="254" t="s">
        <v>351</v>
      </c>
      <c r="F29" s="257" t="s">
        <v>350</v>
      </c>
      <c r="G29" s="254" t="s">
        <v>97</v>
      </c>
      <c r="H29" s="302">
        <v>2</v>
      </c>
      <c r="I29" s="242" t="str">
        <f>IF(H29&lt;=0,"",IF(H29&lt;=2,"Muy Baja",IF(H29&lt;=24,"Baja",IF(H29&lt;=500,"Media",IF(H29&lt;=5000,"Alta","Muy Alta")))))</f>
        <v>Muy Baja</v>
      </c>
      <c r="J29" s="233">
        <f>IF(I29="","",IF(I29="Muy Baja",0.2,IF(I29="Baja",0.4,IF(I29="Media",0.6,IF(I29="Alta",0.8,IF(I29="Muy Alta",1,))))))</f>
        <v>0.2</v>
      </c>
      <c r="K29" s="239" t="s">
        <v>162</v>
      </c>
      <c r="L29" s="233" t="str">
        <f>IF(NOT(ISERROR(MATCH(K29,'Tabla Impacto'!$B$225:$B$227,0))),'Tabla Impacto'!$G$227&amp;"Por favor no seleccionar los criterios de impacto(Afectación Económica o presupuestal y Pérdida Reputacional)",K29)</f>
        <v xml:space="preserve">     El riesgo afecta la imagen de de la entidad con efecto publicitario sostenido a nivel de sector administrativo, nivel departamental o municipal</v>
      </c>
      <c r="M29" s="242" t="str">
        <f>IF(OR(L29='Tabla Impacto'!$C$15,L29='Tabla Impacto'!$E$15),"Leve",IF(OR(L29='Tabla Impacto'!$C$16,L29='Tabla Impacto'!$E$16),"Menor",IF(OR(L29='Tabla Impacto'!$C$17,L29='Tabla Impacto'!$E$17),"Moderado",IF(OR(L29='Tabla Impacto'!$C$18,L29='Tabla Impacto'!$E$18),"Mayor",IF(OR(L29='Tabla Impacto'!$C$19,L29='Tabla Impacto'!$E$19),"Catastrófico","")))))</f>
        <v>Mayor</v>
      </c>
      <c r="N29" s="233">
        <f>IF(M29="","",IF(M29="Leve",0.2,IF(M29="Menor",0.4,IF(M29="Moderado",0.6,IF(M29="Mayor",0.8,IF(M29="Catastrófico",1,))))))</f>
        <v>0.8</v>
      </c>
      <c r="O29" s="236" t="str">
        <f>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Alto</v>
      </c>
      <c r="P29" s="155">
        <v>1</v>
      </c>
      <c r="Q29" s="158" t="s">
        <v>352</v>
      </c>
      <c r="R29" s="143" t="str">
        <f>IF(OR(S29="Preventivo",S29="Detectivo"),"Probabilidad",IF(S29="Correctivo","Impacto",""))</f>
        <v>Probabilidad</v>
      </c>
      <c r="S29" s="119" t="s">
        <v>100</v>
      </c>
      <c r="T29" s="119" t="s">
        <v>101</v>
      </c>
      <c r="U29" s="122" t="str">
        <f>IF(AND(S29="Preventivo",T29="Automático"),"50%",IF(AND(S29="Preventivo",T29="Manual"),"40%",IF(AND(S29="Detectivo",T29="Automático"),"40%",IF(AND(S29="Detectivo",T29="Manual"),"30%",IF(AND(S29="Correctivo",T29="Automático"),"35%",IF(AND(S29="Correctivo",T29="Manual"),"25%",""))))))</f>
        <v>40%</v>
      </c>
      <c r="V29" s="119" t="s">
        <v>102</v>
      </c>
      <c r="W29" s="119" t="s">
        <v>103</v>
      </c>
      <c r="X29" s="119" t="s">
        <v>104</v>
      </c>
      <c r="Y29" s="144">
        <f>IFERROR(IF(R29="Probabilidad",(J29-(+J29*U29)),IF(R29="Impacto",J29,"")),"")</f>
        <v>0.12</v>
      </c>
      <c r="Z29" s="118" t="str">
        <f>IFERROR(IF(Y29="","",IF(Y29&lt;=0.2,"Muy Baja",IF(Y29&lt;=0.4,"Baja",IF(Y29&lt;=0.6,"Media",IF(Y29&lt;=0.8,"Alta","Muy Alta"))))),"")</f>
        <v>Muy Baja</v>
      </c>
      <c r="AA29" s="122">
        <f>+Y29</f>
        <v>0.12</v>
      </c>
      <c r="AB29" s="118" t="str">
        <f>IFERROR(IF(AC29="","",IF(AC29&lt;=0.2,"Leve",IF(AC29&lt;=0.4,"Menor",IF(AC29&lt;=0.6,"Moderado",IF(AC29&lt;=0.8,"Mayor","Catastrófico"))))),"")</f>
        <v>Mayor</v>
      </c>
      <c r="AC29" s="122">
        <f>IFERROR(IF(R29="Impacto",(N29-(+N29*U29)),IF(R29="Probabilidad",N29,"")),"")</f>
        <v>0.8</v>
      </c>
      <c r="AD29" s="127" t="str">
        <f>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Alto</v>
      </c>
      <c r="AE29" s="119" t="s">
        <v>105</v>
      </c>
      <c r="AF29" s="160" t="s">
        <v>353</v>
      </c>
      <c r="AG29" s="145" t="s">
        <v>108</v>
      </c>
      <c r="AH29" s="112">
        <v>45320</v>
      </c>
      <c r="AI29" s="112">
        <v>45641</v>
      </c>
      <c r="AJ29" s="157"/>
      <c r="AK29" s="113"/>
      <c r="AL29" s="156"/>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row>
    <row r="30" spans="1:70" ht="18" customHeight="1" x14ac:dyDescent="0.25">
      <c r="A30" s="261"/>
      <c r="B30" s="294"/>
      <c r="C30" s="255"/>
      <c r="D30" s="258"/>
      <c r="E30" s="255"/>
      <c r="F30" s="258"/>
      <c r="G30" s="255"/>
      <c r="H30" s="303"/>
      <c r="I30" s="243"/>
      <c r="J30" s="234"/>
      <c r="K30" s="240"/>
      <c r="L30" s="234">
        <f ca="1">IF(NOT(ISERROR(MATCH(K30,_xlfn.ANCHORARRAY(F47),0))),J49&amp;"Por favor no seleccionar los criterios de impacto",K30)</f>
        <v>0</v>
      </c>
      <c r="M30" s="243"/>
      <c r="N30" s="234"/>
      <c r="O30" s="237"/>
      <c r="P30" s="155">
        <v>2</v>
      </c>
      <c r="Q30" s="158"/>
      <c r="R30" s="161" t="str">
        <f>IF(OR(S30="Preventivo",S30="Detectivo"),"Probabilidad",IF(S30="Correctivo","Impacto",""))</f>
        <v/>
      </c>
      <c r="S30" s="162"/>
      <c r="T30" s="162"/>
      <c r="U30" s="163" t="str">
        <f t="shared" ref="U30:U34" si="22">IF(AND(S30="Preventivo",T30="Automático"),"50%",IF(AND(S30="Preventivo",T30="Manual"),"40%",IF(AND(S30="Detectivo",T30="Automático"),"40%",IF(AND(S30="Detectivo",T30="Manual"),"30%",IF(AND(S30="Correctivo",T30="Automático"),"35%",IF(AND(S30="Correctivo",T30="Manual"),"25%",""))))))</f>
        <v/>
      </c>
      <c r="V30" s="162"/>
      <c r="W30" s="162"/>
      <c r="X30" s="162"/>
      <c r="Y30" s="144" t="str">
        <f>IFERROR(IF(AND(R29="Probabilidad",R30="Probabilidad"),(AA29-(+AA29*U30)),IF(R30="Probabilidad",(J29-(+J29*U30)),IF(R30="Impacto",AA29,""))),"")</f>
        <v/>
      </c>
      <c r="Z30" s="164" t="str">
        <f t="shared" ref="Z30:Z34" si="23">IFERROR(IF(Y30="","",IF(Y30&lt;=0.2,"Muy Baja",IF(Y30&lt;=0.4,"Baja",IF(Y30&lt;=0.6,"Media",IF(Y30&lt;=0.8,"Alta","Muy Alta"))))),"")</f>
        <v/>
      </c>
      <c r="AA30" s="122" t="str">
        <f t="shared" ref="AA30:AA34" si="24">+Y30</f>
        <v/>
      </c>
      <c r="AB30" s="164" t="str">
        <f t="shared" si="5"/>
        <v/>
      </c>
      <c r="AC30" s="122" t="str">
        <f>IFERROR(IF(AND(R29="Impacto",R30="Impacto"),(AC29-(+AC29*U30)),IF(R30="Impacto",(N29-(+N29*U30)),IF(R30="Probabilidad",AC29,""))),"")</f>
        <v/>
      </c>
      <c r="AD30" s="165" t="str">
        <f t="shared" ref="AD30:AD31" si="25">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
      </c>
      <c r="AE30" s="119"/>
      <c r="AF30" s="145"/>
      <c r="AG30" s="145"/>
      <c r="AH30" s="112"/>
      <c r="AI30" s="112"/>
      <c r="AJ30" s="157"/>
      <c r="AK30" s="113"/>
      <c r="AL30" s="156"/>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row>
    <row r="31" spans="1:70" ht="18" customHeight="1" x14ac:dyDescent="0.25">
      <c r="A31" s="261"/>
      <c r="B31" s="294"/>
      <c r="C31" s="255"/>
      <c r="D31" s="258"/>
      <c r="E31" s="255"/>
      <c r="F31" s="258"/>
      <c r="G31" s="255"/>
      <c r="H31" s="303"/>
      <c r="I31" s="243"/>
      <c r="J31" s="234"/>
      <c r="K31" s="240"/>
      <c r="L31" s="234">
        <f ca="1">IF(NOT(ISERROR(MATCH(K31,_xlfn.ANCHORARRAY(F48),0))),J50&amp;"Por favor no seleccionar los criterios de impacto",K31)</f>
        <v>0</v>
      </c>
      <c r="M31" s="243"/>
      <c r="N31" s="234"/>
      <c r="O31" s="237"/>
      <c r="P31" s="155">
        <v>3</v>
      </c>
      <c r="Q31" s="147"/>
      <c r="R31" s="161" t="str">
        <f>IF(OR(S31="Preventivo",S31="Detectivo"),"Probabilidad",IF(S31="Correctivo","Impacto",""))</f>
        <v/>
      </c>
      <c r="S31" s="162"/>
      <c r="T31" s="162"/>
      <c r="U31" s="163" t="str">
        <f t="shared" si="22"/>
        <v/>
      </c>
      <c r="V31" s="162"/>
      <c r="W31" s="162"/>
      <c r="X31" s="162"/>
      <c r="Y31" s="144" t="str">
        <f>IFERROR(IF(AND(R30="Probabilidad",R31="Probabilidad"),(AA30-(+AA30*U31)),IF(AND(R30="Impacto",R31="Probabilidad"),(AA29-(+AA29*U31)),IF(R31="Impacto",AA30,""))),"")</f>
        <v/>
      </c>
      <c r="Z31" s="164" t="str">
        <f t="shared" si="23"/>
        <v/>
      </c>
      <c r="AA31" s="122" t="str">
        <f t="shared" si="24"/>
        <v/>
      </c>
      <c r="AB31" s="164" t="str">
        <f t="shared" si="5"/>
        <v/>
      </c>
      <c r="AC31" s="122" t="str">
        <f>IFERROR(IF(AND(R30="Impacto",R31="Impacto"),(AC30-(+AC30*U31)),IF(AND(R30="Probabilidad",R31="Impacto"),(AC29-(+AC29*U31)),IF(R31="Probabilidad",AC30,""))),"")</f>
        <v/>
      </c>
      <c r="AD31" s="165" t="str">
        <f t="shared" si="25"/>
        <v/>
      </c>
      <c r="AE31" s="119"/>
      <c r="AF31" s="145"/>
      <c r="AG31" s="114"/>
      <c r="AH31" s="112"/>
      <c r="AI31" s="112"/>
      <c r="AJ31" s="157"/>
      <c r="AK31" s="113"/>
      <c r="AL31" s="156"/>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row>
    <row r="32" spans="1:70" ht="18" customHeight="1" x14ac:dyDescent="0.25">
      <c r="A32" s="261"/>
      <c r="B32" s="294"/>
      <c r="C32" s="255"/>
      <c r="D32" s="258"/>
      <c r="E32" s="255"/>
      <c r="F32" s="258"/>
      <c r="G32" s="255"/>
      <c r="H32" s="303"/>
      <c r="I32" s="243"/>
      <c r="J32" s="234"/>
      <c r="K32" s="240"/>
      <c r="L32" s="234">
        <f ca="1">IF(NOT(ISERROR(MATCH(K32,_xlfn.ANCHORARRAY(F49),0))),J51&amp;"Por favor no seleccionar los criterios de impacto",K32)</f>
        <v>0</v>
      </c>
      <c r="M32" s="243"/>
      <c r="N32" s="234"/>
      <c r="O32" s="237"/>
      <c r="P32" s="155">
        <v>4</v>
      </c>
      <c r="Q32" s="158"/>
      <c r="R32" s="148" t="str">
        <f t="shared" ref="R32:R34" si="26">IF(OR(S32="Preventivo",S32="Detectivo"),"Probabilidad",IF(S32="Correctivo","Impacto",""))</f>
        <v/>
      </c>
      <c r="S32" s="115"/>
      <c r="T32" s="115"/>
      <c r="U32" s="149" t="str">
        <f t="shared" si="22"/>
        <v/>
      </c>
      <c r="V32" s="115"/>
      <c r="W32" s="115"/>
      <c r="X32" s="115"/>
      <c r="Y32" s="150" t="str">
        <f t="shared" ref="Y32:Y34" si="27">IFERROR(IF(AND(R31="Probabilidad",R32="Probabilidad"),(AA31-(+AA31*U32)),IF(AND(R31="Impacto",R32="Probabilidad"),(AA30-(+AA30*U32)),IF(R32="Impacto",AA31,""))),"")</f>
        <v/>
      </c>
      <c r="Z32" s="152" t="str">
        <f t="shared" si="23"/>
        <v/>
      </c>
      <c r="AA32" s="151" t="str">
        <f t="shared" si="24"/>
        <v/>
      </c>
      <c r="AB32" s="152" t="str">
        <f t="shared" si="5"/>
        <v/>
      </c>
      <c r="AC32" s="151" t="str">
        <f t="shared" ref="AC32:AC34" si="28">IFERROR(IF(AND(R31="Impacto",R32="Impacto"),(AC31-(+AC31*U32)),IF(AND(R31="Probabilidad",R32="Impacto"),(AC30-(+AC30*U32)),IF(R32="Probabilidad",AC31,""))),"")</f>
        <v/>
      </c>
      <c r="AD32" s="153" t="str">
        <f>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54"/>
      <c r="AF32" s="113"/>
      <c r="AG32" s="156"/>
      <c r="AH32" s="157"/>
      <c r="AI32" s="157"/>
      <c r="AJ32" s="157"/>
      <c r="AK32" s="113"/>
      <c r="AL32" s="156"/>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1:70" ht="18" customHeight="1" x14ac:dyDescent="0.25">
      <c r="A33" s="261"/>
      <c r="B33" s="294"/>
      <c r="C33" s="255"/>
      <c r="D33" s="258"/>
      <c r="E33" s="255"/>
      <c r="F33" s="258"/>
      <c r="G33" s="255"/>
      <c r="H33" s="303"/>
      <c r="I33" s="243"/>
      <c r="J33" s="234"/>
      <c r="K33" s="240"/>
      <c r="L33" s="234">
        <f ca="1">IF(NOT(ISERROR(MATCH(K33,_xlfn.ANCHORARRAY(F50),0))),J52&amp;"Por favor no seleccionar los criterios de impacto",K33)</f>
        <v>0</v>
      </c>
      <c r="M33" s="243"/>
      <c r="N33" s="234"/>
      <c r="O33" s="237"/>
      <c r="P33" s="155">
        <v>5</v>
      </c>
      <c r="Q33" s="158"/>
      <c r="R33" s="148" t="str">
        <f t="shared" si="26"/>
        <v/>
      </c>
      <c r="S33" s="115"/>
      <c r="T33" s="115"/>
      <c r="U33" s="149" t="str">
        <f t="shared" si="22"/>
        <v/>
      </c>
      <c r="V33" s="115"/>
      <c r="W33" s="115"/>
      <c r="X33" s="115"/>
      <c r="Y33" s="150" t="str">
        <f t="shared" si="27"/>
        <v/>
      </c>
      <c r="Z33" s="152" t="str">
        <f t="shared" si="23"/>
        <v/>
      </c>
      <c r="AA33" s="151" t="str">
        <f t="shared" si="24"/>
        <v/>
      </c>
      <c r="AB33" s="152" t="str">
        <f t="shared" si="5"/>
        <v/>
      </c>
      <c r="AC33" s="151" t="str">
        <f t="shared" si="28"/>
        <v/>
      </c>
      <c r="AD33" s="153" t="str">
        <f t="shared" ref="AD33:AD34" si="29">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154"/>
      <c r="AF33" s="113"/>
      <c r="AG33" s="156"/>
      <c r="AH33" s="157"/>
      <c r="AI33" s="157"/>
      <c r="AJ33" s="157"/>
      <c r="AK33" s="113"/>
      <c r="AL33" s="156"/>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1:70" ht="18" customHeight="1" x14ac:dyDescent="0.25">
      <c r="A34" s="262"/>
      <c r="B34" s="295"/>
      <c r="C34" s="256"/>
      <c r="D34" s="259"/>
      <c r="E34" s="256"/>
      <c r="F34" s="259"/>
      <c r="G34" s="256"/>
      <c r="H34" s="304"/>
      <c r="I34" s="244"/>
      <c r="J34" s="235"/>
      <c r="K34" s="241"/>
      <c r="L34" s="235">
        <f ca="1">IF(NOT(ISERROR(MATCH(K34,_xlfn.ANCHORARRAY(F51),0))),#REF!&amp;"Por favor no seleccionar los criterios de impacto",K34)</f>
        <v>0</v>
      </c>
      <c r="M34" s="244"/>
      <c r="N34" s="235"/>
      <c r="O34" s="238"/>
      <c r="P34" s="155">
        <v>6</v>
      </c>
      <c r="Q34" s="158"/>
      <c r="R34" s="148" t="str">
        <f t="shared" si="26"/>
        <v/>
      </c>
      <c r="S34" s="115"/>
      <c r="T34" s="115"/>
      <c r="U34" s="149" t="str">
        <f t="shared" si="22"/>
        <v/>
      </c>
      <c r="V34" s="115"/>
      <c r="W34" s="115"/>
      <c r="X34" s="115"/>
      <c r="Y34" s="150" t="str">
        <f t="shared" si="27"/>
        <v/>
      </c>
      <c r="Z34" s="152" t="str">
        <f t="shared" si="23"/>
        <v/>
      </c>
      <c r="AA34" s="151" t="str">
        <f t="shared" si="24"/>
        <v/>
      </c>
      <c r="AB34" s="152" t="str">
        <f t="shared" si="5"/>
        <v/>
      </c>
      <c r="AC34" s="151" t="str">
        <f t="shared" si="28"/>
        <v/>
      </c>
      <c r="AD34" s="153" t="str">
        <f t="shared" si="29"/>
        <v/>
      </c>
      <c r="AE34" s="154"/>
      <c r="AF34" s="113"/>
      <c r="AG34" s="156"/>
      <c r="AH34" s="157"/>
      <c r="AI34" s="157"/>
      <c r="AJ34" s="157"/>
      <c r="AK34" s="113"/>
      <c r="AL34" s="156"/>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row>
    <row r="35" spans="1:70" ht="147" customHeight="1" x14ac:dyDescent="0.25">
      <c r="A35" s="260">
        <v>5</v>
      </c>
      <c r="B35" s="293" t="s">
        <v>332</v>
      </c>
      <c r="C35" s="254" t="s">
        <v>93</v>
      </c>
      <c r="D35" s="254" t="s">
        <v>329</v>
      </c>
      <c r="E35" s="254" t="s">
        <v>330</v>
      </c>
      <c r="F35" s="257" t="s">
        <v>331</v>
      </c>
      <c r="G35" s="254" t="s">
        <v>313</v>
      </c>
      <c r="H35" s="251">
        <v>2</v>
      </c>
      <c r="I35" s="242" t="str">
        <f>IF(H35&lt;=0,"",IF(H35&lt;=2,"Muy Baja",IF(H35&lt;=24,"Baja",IF(H35&lt;=500,"Media",IF(H35&lt;=5000,"Alta","Muy Alta")))))</f>
        <v>Muy Baja</v>
      </c>
      <c r="J35" s="233">
        <f>IF(I35="","",IF(I35="Muy Baja",0.2,IF(I35="Baja",0.4,IF(I35="Media",0.6,IF(I35="Alta",0.8,IF(I35="Muy Alta",1,))))))</f>
        <v>0.2</v>
      </c>
      <c r="K35" s="239" t="s">
        <v>156</v>
      </c>
      <c r="L35" s="233" t="str">
        <f>IF(NOT(ISERROR(MATCH(K35,'[2]Tabla Impacto'!$B$225:$B$227,0))),'[2]Tabla Impacto'!$G$227&amp;"Por favor no seleccionar los criterios de impacto(Afectación Económica o presupuestal y Pérdida Reputacional)",K35)</f>
        <v xml:space="preserve">     El riesgo afecta la imagen de alguna área de la organización</v>
      </c>
      <c r="M35" s="242" t="str">
        <f>IF(OR(L35='[2]Tabla Impacto'!$C$15,L35='[2]Tabla Impacto'!$E$15),"Leve",IF(OR(L35='[2]Tabla Impacto'!$C$16,L35='[2]Tabla Impacto'!$E$16),"Menor",IF(OR(L35='[2]Tabla Impacto'!$C$17,L35='[2]Tabla Impacto'!$E$17),"Moderado",IF(OR(L35='[2]Tabla Impacto'!$C$18,L35='[2]Tabla Impacto'!$E$18),"Mayor",IF(OR(L35='[2]Tabla Impacto'!$C$19,L35='[2]Tabla Impacto'!$E$19),"Catastrófico","")))))</f>
        <v>Leve</v>
      </c>
      <c r="N35" s="233">
        <f>IF(M35="","",IF(M35="Leve",0.2,IF(M35="Menor",0.4,IF(M35="Moderado",0.6,IF(M35="Mayor",0.8,IF(M35="Catastrófico",1,))))))</f>
        <v>0.2</v>
      </c>
      <c r="O35" s="236" t="str">
        <f>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Bajo</v>
      </c>
      <c r="P35" s="141">
        <v>1</v>
      </c>
      <c r="Q35" s="142" t="s">
        <v>371</v>
      </c>
      <c r="R35" s="166" t="str">
        <f>IF(OR(S35="Preventivo",S35="Detectivo"),"Probabilidad",IF(S35="Correctivo","Impacto",""))</f>
        <v>Probabilidad</v>
      </c>
      <c r="S35" s="120" t="s">
        <v>100</v>
      </c>
      <c r="T35" s="120" t="s">
        <v>101</v>
      </c>
      <c r="U35" s="123" t="str">
        <f>IF(AND(S35="Preventivo",T35="Automático"),"50%",IF(AND(S35="Preventivo",T35="Manual"),"40%",IF(AND(S35="Detectivo",T35="Automático"),"40%",IF(AND(S35="Detectivo",T35="Manual"),"30%",IF(AND(S35="Correctivo",T35="Automático"),"35%",IF(AND(S35="Correctivo",T35="Manual"),"25%",""))))))</f>
        <v>40%</v>
      </c>
      <c r="V35" s="120" t="s">
        <v>102</v>
      </c>
      <c r="W35" s="120" t="s">
        <v>103</v>
      </c>
      <c r="X35" s="120" t="s">
        <v>104</v>
      </c>
      <c r="Y35" s="144">
        <f>IFERROR(IF(R35="Probabilidad",(J35-(+J35*U35)),IF(R35="Impacto",J35,"")),"")</f>
        <v>0.12</v>
      </c>
      <c r="Z35" s="125" t="str">
        <f>IFERROR(IF(Y35="","",IF(Y35&lt;=0.2,"Muy Baja",IF(Y35&lt;=0.4,"Baja",IF(Y35&lt;=0.6,"Media",IF(Y35&lt;=0.8,"Alta","Muy Alta"))))),"")</f>
        <v>Muy Baja</v>
      </c>
      <c r="AA35" s="123">
        <f>+Y35</f>
        <v>0.12</v>
      </c>
      <c r="AB35" s="125" t="str">
        <f t="shared" si="5"/>
        <v>Leve</v>
      </c>
      <c r="AC35" s="123">
        <f>IFERROR(IF(R35="Impacto",(N35-(+N35*U35)),IF(R35="Probabilidad",N35,"")),"")</f>
        <v>0.2</v>
      </c>
      <c r="AD35" s="128" t="str">
        <f>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Bajo</v>
      </c>
      <c r="AE35" s="120" t="s">
        <v>105</v>
      </c>
      <c r="AF35" s="145" t="s">
        <v>372</v>
      </c>
      <c r="AG35" s="145" t="s">
        <v>355</v>
      </c>
      <c r="AH35" s="112">
        <v>45320</v>
      </c>
      <c r="AI35" s="112">
        <v>45641</v>
      </c>
      <c r="AJ35" s="112"/>
      <c r="AK35" s="113"/>
      <c r="AL35" s="11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row>
    <row r="36" spans="1:70" ht="128.25" customHeight="1" x14ac:dyDescent="0.25">
      <c r="A36" s="261"/>
      <c r="B36" s="294"/>
      <c r="C36" s="255"/>
      <c r="D36" s="255"/>
      <c r="E36" s="255"/>
      <c r="F36" s="258"/>
      <c r="G36" s="255"/>
      <c r="H36" s="252"/>
      <c r="I36" s="243"/>
      <c r="J36" s="234"/>
      <c r="K36" s="240"/>
      <c r="L36" s="234">
        <f ca="1">IF(NOT(ISERROR(MATCH(K36,_xlfn.ANCHORARRAY(F53),0))),J55&amp;"Por favor no seleccionar los criterios de impacto",K36)</f>
        <v>0</v>
      </c>
      <c r="M36" s="243"/>
      <c r="N36" s="234"/>
      <c r="O36" s="237"/>
      <c r="P36" s="141">
        <v>2</v>
      </c>
      <c r="Q36" s="167"/>
      <c r="R36" s="168"/>
      <c r="S36" s="132"/>
      <c r="T36" s="132"/>
      <c r="U36" s="130"/>
      <c r="V36" s="132"/>
      <c r="W36" s="132"/>
      <c r="X36" s="132"/>
      <c r="Y36" s="144" t="str">
        <f>IFERROR(IF(AND(R35="Probabilidad",R36="Probabilidad"),(AA35-(+AA35*U36)),IF(R36="Probabilidad",(J35-(+J35*U36)),IF(R36="Impacto",AA35,""))),"")</f>
        <v/>
      </c>
      <c r="Z36" s="133"/>
      <c r="AA36" s="130"/>
      <c r="AB36" s="133"/>
      <c r="AC36" s="130"/>
      <c r="AD36" s="131"/>
      <c r="AE36" s="132"/>
      <c r="AF36" s="145" t="s">
        <v>354</v>
      </c>
      <c r="AG36" s="145" t="s">
        <v>356</v>
      </c>
      <c r="AH36" s="112">
        <v>45320</v>
      </c>
      <c r="AI36" s="112">
        <v>45641</v>
      </c>
      <c r="AJ36" s="112"/>
      <c r="AK36" s="113"/>
      <c r="AL36" s="11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row>
    <row r="37" spans="1:70" ht="18" customHeight="1" x14ac:dyDescent="0.25">
      <c r="A37" s="261"/>
      <c r="B37" s="294"/>
      <c r="C37" s="255"/>
      <c r="D37" s="255"/>
      <c r="E37" s="255"/>
      <c r="F37" s="258"/>
      <c r="G37" s="255"/>
      <c r="H37" s="252"/>
      <c r="I37" s="243"/>
      <c r="J37" s="234"/>
      <c r="K37" s="240"/>
      <c r="L37" s="234">
        <f ca="1">IF(NOT(ISERROR(MATCH(K37,_xlfn.ANCHORARRAY(F54),0))),J56&amp;"Por favor no seleccionar los criterios de impacto",K37)</f>
        <v>0</v>
      </c>
      <c r="M37" s="243"/>
      <c r="N37" s="234"/>
      <c r="O37" s="237"/>
      <c r="P37" s="155">
        <v>3</v>
      </c>
      <c r="Q37" s="147"/>
      <c r="R37" s="168"/>
      <c r="S37" s="132"/>
      <c r="T37" s="132"/>
      <c r="U37" s="130"/>
      <c r="V37" s="132"/>
      <c r="W37" s="132"/>
      <c r="X37" s="132"/>
      <c r="Y37" s="150"/>
      <c r="Z37" s="133"/>
      <c r="AA37" s="130"/>
      <c r="AB37" s="133"/>
      <c r="AC37" s="130"/>
      <c r="AD37" s="131"/>
      <c r="AE37" s="132"/>
      <c r="AF37" s="113"/>
      <c r="AG37" s="156"/>
      <c r="AH37" s="157"/>
      <c r="AI37" s="157"/>
      <c r="AJ37" s="157"/>
      <c r="AK37" s="113"/>
      <c r="AL37" s="156"/>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row>
    <row r="38" spans="1:70" ht="18" customHeight="1" x14ac:dyDescent="0.25">
      <c r="A38" s="261"/>
      <c r="B38" s="294"/>
      <c r="C38" s="255"/>
      <c r="D38" s="255"/>
      <c r="E38" s="255"/>
      <c r="F38" s="258"/>
      <c r="G38" s="255"/>
      <c r="H38" s="252"/>
      <c r="I38" s="243"/>
      <c r="J38" s="234"/>
      <c r="K38" s="240"/>
      <c r="L38" s="234">
        <f ca="1">IF(NOT(ISERROR(MATCH(K38,_xlfn.ANCHORARRAY(F55),0))),J57&amp;"Por favor no seleccionar los criterios de impacto",K38)</f>
        <v>0</v>
      </c>
      <c r="M38" s="243"/>
      <c r="N38" s="234"/>
      <c r="O38" s="237"/>
      <c r="P38" s="155">
        <v>4</v>
      </c>
      <c r="Q38" s="158"/>
      <c r="R38" s="168"/>
      <c r="S38" s="132"/>
      <c r="T38" s="132"/>
      <c r="U38" s="130"/>
      <c r="V38" s="132"/>
      <c r="W38" s="132"/>
      <c r="X38" s="132"/>
      <c r="Y38" s="150"/>
      <c r="Z38" s="133"/>
      <c r="AA38" s="130"/>
      <c r="AB38" s="133"/>
      <c r="AC38" s="130"/>
      <c r="AD38" s="131"/>
      <c r="AE38" s="132"/>
      <c r="AF38" s="113"/>
      <c r="AG38" s="156"/>
      <c r="AH38" s="157"/>
      <c r="AI38" s="157"/>
      <c r="AJ38" s="157"/>
      <c r="AK38" s="113"/>
      <c r="AL38" s="156"/>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row>
    <row r="39" spans="1:70" ht="18" customHeight="1" x14ac:dyDescent="0.25">
      <c r="A39" s="261"/>
      <c r="B39" s="294"/>
      <c r="C39" s="255"/>
      <c r="D39" s="255"/>
      <c r="E39" s="255"/>
      <c r="F39" s="258"/>
      <c r="G39" s="255"/>
      <c r="H39" s="252"/>
      <c r="I39" s="243"/>
      <c r="J39" s="234"/>
      <c r="K39" s="240"/>
      <c r="L39" s="234">
        <f ca="1">IF(NOT(ISERROR(MATCH(K39,_xlfn.ANCHORARRAY(F56),0))),J58&amp;"Por favor no seleccionar los criterios de impacto",K39)</f>
        <v>0</v>
      </c>
      <c r="M39" s="243"/>
      <c r="N39" s="234"/>
      <c r="O39" s="237"/>
      <c r="P39" s="155">
        <v>5</v>
      </c>
      <c r="Q39" s="158"/>
      <c r="R39" s="168"/>
      <c r="S39" s="132"/>
      <c r="T39" s="132"/>
      <c r="U39" s="130"/>
      <c r="V39" s="132"/>
      <c r="W39" s="132"/>
      <c r="X39" s="132"/>
      <c r="Y39" s="150" t="str">
        <f t="shared" ref="Y39:Y40" si="30">IFERROR(IF(AND(R38="Probabilidad",R39="Probabilidad"),(AA38-(+AA38*U39)),IF(AND(R38="Impacto",R39="Probabilidad"),(AA37-(+AA37*U39)),IF(R39="Impacto",AA38,""))),"")</f>
        <v/>
      </c>
      <c r="Z39" s="133"/>
      <c r="AA39" s="130"/>
      <c r="AB39" s="133"/>
      <c r="AC39" s="130"/>
      <c r="AD39" s="131"/>
      <c r="AE39" s="132"/>
      <c r="AF39" s="113"/>
      <c r="AG39" s="156"/>
      <c r="AH39" s="157"/>
      <c r="AI39" s="157"/>
      <c r="AJ39" s="157"/>
      <c r="AK39" s="113"/>
      <c r="AL39" s="156"/>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row>
    <row r="40" spans="1:70" ht="102.75" customHeight="1" x14ac:dyDescent="0.25">
      <c r="A40" s="262"/>
      <c r="B40" s="295"/>
      <c r="C40" s="256"/>
      <c r="D40" s="256"/>
      <c r="E40" s="256"/>
      <c r="F40" s="259"/>
      <c r="G40" s="256"/>
      <c r="H40" s="253"/>
      <c r="I40" s="244"/>
      <c r="J40" s="235"/>
      <c r="K40" s="241"/>
      <c r="L40" s="235">
        <f ca="1">IF(NOT(ISERROR(MATCH(K40,_xlfn.ANCHORARRAY(F57),0))),J23&amp;"Por favor no seleccionar los criterios de impacto",K40)</f>
        <v>0</v>
      </c>
      <c r="M40" s="244"/>
      <c r="N40" s="235"/>
      <c r="O40" s="238"/>
      <c r="P40" s="155">
        <v>6</v>
      </c>
      <c r="Q40" s="158"/>
      <c r="R40" s="169"/>
      <c r="S40" s="121"/>
      <c r="T40" s="121"/>
      <c r="U40" s="124"/>
      <c r="V40" s="121"/>
      <c r="W40" s="121"/>
      <c r="X40" s="121"/>
      <c r="Y40" s="150" t="str">
        <f t="shared" si="30"/>
        <v/>
      </c>
      <c r="Z40" s="126"/>
      <c r="AA40" s="124"/>
      <c r="AB40" s="126"/>
      <c r="AC40" s="124"/>
      <c r="AD40" s="129"/>
      <c r="AE40" s="121"/>
      <c r="AF40" s="113"/>
      <c r="AG40" s="156"/>
      <c r="AH40" s="157"/>
      <c r="AI40" s="157"/>
      <c r="AJ40" s="157"/>
      <c r="AK40" s="113"/>
      <c r="AL40" s="156"/>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row>
    <row r="41" spans="1:70" ht="162" customHeight="1" x14ac:dyDescent="0.25">
      <c r="A41" s="260">
        <v>6</v>
      </c>
      <c r="B41" s="293" t="s">
        <v>346</v>
      </c>
      <c r="C41" s="254" t="s">
        <v>93</v>
      </c>
      <c r="D41" s="254" t="s">
        <v>334</v>
      </c>
      <c r="E41" s="254" t="s">
        <v>335</v>
      </c>
      <c r="F41" s="257" t="s">
        <v>336</v>
      </c>
      <c r="G41" s="254" t="s">
        <v>97</v>
      </c>
      <c r="H41" s="302">
        <v>2</v>
      </c>
      <c r="I41" s="242" t="str">
        <f>IF(H41&lt;=0,"",IF(H41&lt;=2,"Muy Baja",IF(H41&lt;=24,"Baja",IF(H41&lt;=500,"Media",IF(H41&lt;=5000,"Alta","Muy Alta")))))</f>
        <v>Muy Baja</v>
      </c>
      <c r="J41" s="233">
        <f>IF(I41="","",IF(I41="Muy Baja",0.2,IF(I41="Baja",0.4,IF(I41="Media",0.6,IF(I41="Alta",0.8,IF(I41="Muy Alta",1,))))))</f>
        <v>0.2</v>
      </c>
      <c r="K41" s="239" t="s">
        <v>162</v>
      </c>
      <c r="L41" s="233" t="str">
        <f>IF(NOT(ISERROR(MATCH(K41,'Tabla Impacto'!$B$225:$B$227,0))),'Tabla Impacto'!$G$227&amp;"Por favor no seleccionar los criterios de impacto(Afectación Económica o presupuestal y Pérdida Reputacional)",K41)</f>
        <v xml:space="preserve">     El riesgo afecta la imagen de de la entidad con efecto publicitario sostenido a nivel de sector administrativo, nivel departamental o municipal</v>
      </c>
      <c r="M41" s="242" t="str">
        <f>IF(OR(L41='Tabla Impacto'!$C$15,L41='Tabla Impacto'!$E$15),"Leve",IF(OR(L41='Tabla Impacto'!$C$16,L41='Tabla Impacto'!$E$16),"Menor",IF(OR(L41='Tabla Impacto'!$C$17,L41='Tabla Impacto'!$E$17),"Moderado",IF(OR(L41='Tabla Impacto'!$C$18,L41='Tabla Impacto'!$E$18),"Mayor",IF(OR(L41='Tabla Impacto'!$C$19,L41='Tabla Impacto'!$E$19),"Catastrófico","")))))</f>
        <v>Mayor</v>
      </c>
      <c r="N41" s="233">
        <f>IF(M41="","",IF(M41="Leve",0.2,IF(M41="Menor",0.4,IF(M41="Moderado",0.6,IF(M41="Mayor",0.8,IF(M41="Catastrófico",1,))))))</f>
        <v>0.8</v>
      </c>
      <c r="O41" s="236" t="str">
        <f>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Alto</v>
      </c>
      <c r="P41" s="155">
        <v>1</v>
      </c>
      <c r="Q41" s="158" t="s">
        <v>381</v>
      </c>
      <c r="R41" s="161" t="str">
        <f>IF(OR(S41="Preventivo",S41="Detectivo"),"Probabilidad",IF(S41="Correctivo","Impacto",""))</f>
        <v>Impacto</v>
      </c>
      <c r="S41" s="162" t="s">
        <v>185</v>
      </c>
      <c r="T41" s="162" t="s">
        <v>101</v>
      </c>
      <c r="U41" s="163" t="str">
        <f>IF(AND(S41="Preventivo",T41="Automático"),"50%",IF(AND(S41="Preventivo",T41="Manual"),"40%",IF(AND(S41="Detectivo",T41="Automático"),"40%",IF(AND(S41="Detectivo",T41="Manual"),"30%",IF(AND(S41="Correctivo",T41="Automático"),"35%",IF(AND(S41="Correctivo",T41="Manual"),"25%",""))))))</f>
        <v>25%</v>
      </c>
      <c r="V41" s="162" t="s">
        <v>102</v>
      </c>
      <c r="W41" s="162" t="s">
        <v>103</v>
      </c>
      <c r="X41" s="162" t="s">
        <v>104</v>
      </c>
      <c r="Y41" s="144">
        <f>IFERROR(IF(R41="Probabilidad",(J41-(+J41*U41)),IF(R41="Impacto",J41,"")),"")</f>
        <v>0.2</v>
      </c>
      <c r="Z41" s="164" t="str">
        <f>IFERROR(IF(Y41="","",IF(Y41&lt;=0.2,"Muy Baja",IF(Y41&lt;=0.4,"Baja",IF(Y41&lt;=0.6,"Media",IF(Y41&lt;=0.8,"Alta","Muy Alta"))))),"")</f>
        <v>Muy Baja</v>
      </c>
      <c r="AA41" s="122">
        <f>+Y41</f>
        <v>0.2</v>
      </c>
      <c r="AB41" s="164" t="str">
        <f>IFERROR(IF(AC41="","",IF(AC41&lt;=0.2,"Leve",IF(AC41&lt;=0.4,"Menor",IF(AC41&lt;=0.6,"Moderado",IF(AC41&lt;=0.8,"Mayor","Catastrófico"))))),"")</f>
        <v>Moderado</v>
      </c>
      <c r="AC41" s="122">
        <f>IFERROR(IF(R41="Impacto",(N41-(+N41*U41)),IF(R41="Probabilidad",N41,"")),"")</f>
        <v>0.60000000000000009</v>
      </c>
      <c r="AD41" s="165" t="str">
        <f>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Moderado</v>
      </c>
      <c r="AE41" s="119" t="s">
        <v>105</v>
      </c>
      <c r="AF41" s="145" t="s">
        <v>359</v>
      </c>
      <c r="AG41" s="145" t="s">
        <v>360</v>
      </c>
      <c r="AH41" s="112">
        <v>45320</v>
      </c>
      <c r="AI41" s="112">
        <v>45641</v>
      </c>
      <c r="AJ41" s="157"/>
      <c r="AK41" s="113"/>
      <c r="AL41" s="156"/>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row>
    <row r="42" spans="1:70" ht="15" customHeight="1" x14ac:dyDescent="0.25">
      <c r="A42" s="261"/>
      <c r="B42" s="294"/>
      <c r="C42" s="255"/>
      <c r="D42" s="255"/>
      <c r="E42" s="255"/>
      <c r="F42" s="258"/>
      <c r="G42" s="255"/>
      <c r="H42" s="303"/>
      <c r="I42" s="243"/>
      <c r="J42" s="234"/>
      <c r="K42" s="240"/>
      <c r="L42" s="234">
        <f ca="1">IF(NOT(ISERROR(MATCH(K42,_xlfn.ANCHORARRAY(F95),0))),J97&amp;"Por favor no seleccionar los criterios de impacto",K42)</f>
        <v>0</v>
      </c>
      <c r="M42" s="243"/>
      <c r="N42" s="234"/>
      <c r="O42" s="237"/>
      <c r="P42" s="155">
        <v>2</v>
      </c>
      <c r="Q42" s="158"/>
      <c r="R42" s="161" t="str">
        <f>IF(OR(S42="Preventivo",S42="Detectivo"),"Probabilidad",IF(S42="Correctivo","Impacto",""))</f>
        <v/>
      </c>
      <c r="S42" s="162"/>
      <c r="T42" s="162"/>
      <c r="U42" s="163" t="str">
        <f t="shared" ref="U42:U46" si="31">IF(AND(S42="Preventivo",T42="Automático"),"50%",IF(AND(S42="Preventivo",T42="Manual"),"40%",IF(AND(S42="Detectivo",T42="Automático"),"40%",IF(AND(S42="Detectivo",T42="Manual"),"30%",IF(AND(S42="Correctivo",T42="Automático"),"35%",IF(AND(S42="Correctivo",T42="Manual"),"25%",""))))))</f>
        <v/>
      </c>
      <c r="V42" s="162"/>
      <c r="W42" s="162"/>
      <c r="X42" s="162"/>
      <c r="Y42" s="144" t="str">
        <f>IFERROR(IF(AND(R41="Probabilidad",R42="Probabilidad"),(AA41-(+AA41*U42)),IF(R42="Probabilidad",(J41-(+J41*U42)),IF(R42="Impacto",AA41,""))),"")</f>
        <v/>
      </c>
      <c r="Z42" s="164" t="str">
        <f t="shared" ref="Z42:Z46" si="32">IFERROR(IF(Y42="","",IF(Y42&lt;=0.2,"Muy Baja",IF(Y42&lt;=0.4,"Baja",IF(Y42&lt;=0.6,"Media",IF(Y42&lt;=0.8,"Alta","Muy Alta"))))),"")</f>
        <v/>
      </c>
      <c r="AA42" s="122" t="str">
        <f t="shared" ref="AA42:AA46" si="33">+Y42</f>
        <v/>
      </c>
      <c r="AB42" s="164" t="str">
        <f t="shared" ref="AB42:AB46" si="34">IFERROR(IF(AC42="","",IF(AC42&lt;=0.2,"Leve",IF(AC42&lt;=0.4,"Menor",IF(AC42&lt;=0.6,"Moderado",IF(AC42&lt;=0.8,"Mayor","Catastrófico"))))),"")</f>
        <v/>
      </c>
      <c r="AC42" s="122" t="str">
        <f>IFERROR(IF(AND(R41="Impacto",R42="Impacto"),(AC41-(+AC41*U42)),IF(R42="Impacto",(N41-(+N41*U42)),IF(R42="Probabilidad",AC41,""))),"")</f>
        <v/>
      </c>
      <c r="AD42" s="165" t="str">
        <f t="shared" ref="AD42:AD43" si="35">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
      </c>
      <c r="AE42" s="119"/>
      <c r="AF42" s="145"/>
      <c r="AG42" s="145"/>
      <c r="AH42" s="112"/>
      <c r="AI42" s="112"/>
      <c r="AJ42" s="157"/>
      <c r="AK42" s="113"/>
      <c r="AL42" s="156"/>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row>
    <row r="43" spans="1:70" ht="18" customHeight="1" x14ac:dyDescent="0.25">
      <c r="A43" s="261"/>
      <c r="B43" s="294"/>
      <c r="C43" s="255"/>
      <c r="D43" s="255"/>
      <c r="E43" s="255"/>
      <c r="F43" s="258"/>
      <c r="G43" s="255"/>
      <c r="H43" s="303"/>
      <c r="I43" s="243"/>
      <c r="J43" s="234"/>
      <c r="K43" s="240"/>
      <c r="L43" s="234">
        <f ca="1">IF(NOT(ISERROR(MATCH(K43,_xlfn.ANCHORARRAY(F96),0))),J98&amp;"Por favor no seleccionar los criterios de impacto",K43)</f>
        <v>0</v>
      </c>
      <c r="M43" s="243"/>
      <c r="N43" s="234"/>
      <c r="O43" s="237"/>
      <c r="P43" s="155">
        <v>3</v>
      </c>
      <c r="Q43" s="147"/>
      <c r="R43" s="161" t="str">
        <f>IF(OR(S43="Preventivo",S43="Detectivo"),"Probabilidad",IF(S43="Correctivo","Impacto",""))</f>
        <v/>
      </c>
      <c r="S43" s="162"/>
      <c r="T43" s="162"/>
      <c r="U43" s="163" t="str">
        <f t="shared" si="31"/>
        <v/>
      </c>
      <c r="V43" s="162"/>
      <c r="W43" s="162"/>
      <c r="X43" s="162"/>
      <c r="Y43" s="144" t="str">
        <f>IFERROR(IF(AND(R42="Probabilidad",R43="Probabilidad"),(AA42-(+AA42*U43)),IF(AND(R42="Impacto",R43="Probabilidad"),(AA41-(+AA41*U43)),IF(R43="Impacto",AA42,""))),"")</f>
        <v/>
      </c>
      <c r="Z43" s="164" t="str">
        <f t="shared" si="32"/>
        <v/>
      </c>
      <c r="AA43" s="122" t="str">
        <f t="shared" si="33"/>
        <v/>
      </c>
      <c r="AB43" s="164" t="str">
        <f t="shared" si="34"/>
        <v/>
      </c>
      <c r="AC43" s="122" t="str">
        <f>IFERROR(IF(AND(R42="Impacto",R43="Impacto"),(AC42-(+AC42*U43)),IF(AND(R42="Probabilidad",R43="Impacto"),(AC41-(+AC41*U43)),IF(R43="Probabilidad",AC42,""))),"")</f>
        <v/>
      </c>
      <c r="AD43" s="165" t="str">
        <f t="shared" si="35"/>
        <v/>
      </c>
      <c r="AE43" s="119"/>
      <c r="AF43" s="145"/>
      <c r="AG43" s="114"/>
      <c r="AH43" s="112"/>
      <c r="AI43" s="112"/>
      <c r="AJ43" s="157"/>
      <c r="AK43" s="113"/>
      <c r="AL43" s="156"/>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row>
    <row r="44" spans="1:70" ht="18" customHeight="1" x14ac:dyDescent="0.25">
      <c r="A44" s="261"/>
      <c r="B44" s="294"/>
      <c r="C44" s="255"/>
      <c r="D44" s="255"/>
      <c r="E44" s="255"/>
      <c r="F44" s="258"/>
      <c r="G44" s="255"/>
      <c r="H44" s="303"/>
      <c r="I44" s="243"/>
      <c r="J44" s="234"/>
      <c r="K44" s="240"/>
      <c r="L44" s="234">
        <f ca="1">IF(NOT(ISERROR(MATCH(K44,_xlfn.ANCHORARRAY(F97),0))),J99&amp;"Por favor no seleccionar los criterios de impacto",K44)</f>
        <v>0</v>
      </c>
      <c r="M44" s="243"/>
      <c r="N44" s="234"/>
      <c r="O44" s="237"/>
      <c r="P44" s="155">
        <v>4</v>
      </c>
      <c r="Q44" s="158"/>
      <c r="R44" s="148" t="str">
        <f t="shared" ref="R44:R46" si="36">IF(OR(S44="Preventivo",S44="Detectivo"),"Probabilidad",IF(S44="Correctivo","Impacto",""))</f>
        <v/>
      </c>
      <c r="S44" s="115"/>
      <c r="T44" s="115"/>
      <c r="U44" s="149" t="str">
        <f t="shared" si="31"/>
        <v/>
      </c>
      <c r="V44" s="115"/>
      <c r="W44" s="115"/>
      <c r="X44" s="115"/>
      <c r="Y44" s="150" t="str">
        <f t="shared" ref="Y44:Y46" si="37">IFERROR(IF(AND(R43="Probabilidad",R44="Probabilidad"),(AA43-(+AA43*U44)),IF(AND(R43="Impacto",R44="Probabilidad"),(AA42-(+AA42*U44)),IF(R44="Impacto",AA43,""))),"")</f>
        <v/>
      </c>
      <c r="Z44" s="152" t="str">
        <f t="shared" si="32"/>
        <v/>
      </c>
      <c r="AA44" s="151" t="str">
        <f t="shared" si="33"/>
        <v/>
      </c>
      <c r="AB44" s="152" t="str">
        <f t="shared" si="34"/>
        <v/>
      </c>
      <c r="AC44" s="151" t="str">
        <f t="shared" ref="AC44:AC46" si="38">IFERROR(IF(AND(R43="Impacto",R44="Impacto"),(AC43-(+AC43*U44)),IF(AND(R43="Probabilidad",R44="Impacto"),(AC42-(+AC42*U44)),IF(R44="Probabilidad",AC43,""))),"")</f>
        <v/>
      </c>
      <c r="AD44" s="153"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54"/>
      <c r="AF44" s="113"/>
      <c r="AG44" s="156"/>
      <c r="AH44" s="157"/>
      <c r="AI44" s="157"/>
      <c r="AJ44" s="157"/>
      <c r="AK44" s="113"/>
      <c r="AL44" s="156"/>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row>
    <row r="45" spans="1:70" ht="18" customHeight="1" x14ac:dyDescent="0.25">
      <c r="A45" s="261"/>
      <c r="B45" s="294"/>
      <c r="C45" s="255"/>
      <c r="D45" s="255"/>
      <c r="E45" s="255"/>
      <c r="F45" s="258"/>
      <c r="G45" s="255"/>
      <c r="H45" s="303"/>
      <c r="I45" s="243"/>
      <c r="J45" s="234"/>
      <c r="K45" s="240"/>
      <c r="L45" s="234">
        <f ca="1">IF(NOT(ISERROR(MATCH(K45,_xlfn.ANCHORARRAY(F98),0))),J100&amp;"Por favor no seleccionar los criterios de impacto",K45)</f>
        <v>0</v>
      </c>
      <c r="M45" s="243"/>
      <c r="N45" s="234"/>
      <c r="O45" s="237"/>
      <c r="P45" s="155">
        <v>5</v>
      </c>
      <c r="Q45" s="158"/>
      <c r="R45" s="148" t="str">
        <f t="shared" si="36"/>
        <v/>
      </c>
      <c r="S45" s="115"/>
      <c r="T45" s="115"/>
      <c r="U45" s="149" t="str">
        <f t="shared" si="31"/>
        <v/>
      </c>
      <c r="V45" s="115"/>
      <c r="W45" s="115"/>
      <c r="X45" s="115"/>
      <c r="Y45" s="150" t="str">
        <f t="shared" si="37"/>
        <v/>
      </c>
      <c r="Z45" s="152" t="str">
        <f t="shared" si="32"/>
        <v/>
      </c>
      <c r="AA45" s="151" t="str">
        <f t="shared" si="33"/>
        <v/>
      </c>
      <c r="AB45" s="152" t="str">
        <f t="shared" si="34"/>
        <v/>
      </c>
      <c r="AC45" s="151" t="str">
        <f t="shared" si="38"/>
        <v/>
      </c>
      <c r="AD45" s="153" t="str">
        <f t="shared" ref="AD45:AD46" si="39">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
      </c>
      <c r="AE45" s="154"/>
      <c r="AF45" s="113"/>
      <c r="AG45" s="156"/>
      <c r="AH45" s="157"/>
      <c r="AI45" s="157"/>
      <c r="AJ45" s="157"/>
      <c r="AK45" s="113"/>
      <c r="AL45" s="156"/>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row>
    <row r="46" spans="1:70" ht="18" customHeight="1" x14ac:dyDescent="0.25">
      <c r="A46" s="262"/>
      <c r="B46" s="295"/>
      <c r="C46" s="256"/>
      <c r="D46" s="256"/>
      <c r="E46" s="256"/>
      <c r="F46" s="259"/>
      <c r="G46" s="256"/>
      <c r="H46" s="304"/>
      <c r="I46" s="244"/>
      <c r="J46" s="235"/>
      <c r="K46" s="241"/>
      <c r="L46" s="235">
        <f ca="1">IF(NOT(ISERROR(MATCH(K46,_xlfn.ANCHORARRAY(F99),0))),J101&amp;"Por favor no seleccionar los criterios de impacto",K46)</f>
        <v>0</v>
      </c>
      <c r="M46" s="244"/>
      <c r="N46" s="235"/>
      <c r="O46" s="238"/>
      <c r="P46" s="155">
        <v>6</v>
      </c>
      <c r="Q46" s="158"/>
      <c r="R46" s="148" t="str">
        <f t="shared" si="36"/>
        <v/>
      </c>
      <c r="S46" s="115"/>
      <c r="T46" s="115"/>
      <c r="U46" s="149" t="str">
        <f t="shared" si="31"/>
        <v/>
      </c>
      <c r="V46" s="115"/>
      <c r="W46" s="115"/>
      <c r="X46" s="115"/>
      <c r="Y46" s="150" t="str">
        <f t="shared" si="37"/>
        <v/>
      </c>
      <c r="Z46" s="152" t="str">
        <f t="shared" si="32"/>
        <v/>
      </c>
      <c r="AA46" s="151" t="str">
        <f t="shared" si="33"/>
        <v/>
      </c>
      <c r="AB46" s="152" t="str">
        <f t="shared" si="34"/>
        <v/>
      </c>
      <c r="AC46" s="151" t="str">
        <f t="shared" si="38"/>
        <v/>
      </c>
      <c r="AD46" s="153" t="str">
        <f t="shared" si="39"/>
        <v/>
      </c>
      <c r="AE46" s="154"/>
      <c r="AF46" s="113"/>
      <c r="AG46" s="156"/>
      <c r="AH46" s="157"/>
      <c r="AI46" s="157"/>
      <c r="AJ46" s="157"/>
      <c r="AK46" s="113"/>
      <c r="AL46" s="156"/>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row>
    <row r="47" spans="1:70" ht="140.25" customHeight="1" x14ac:dyDescent="0.25">
      <c r="A47" s="260">
        <v>7</v>
      </c>
      <c r="B47" s="293" t="s">
        <v>346</v>
      </c>
      <c r="C47" s="254" t="s">
        <v>93</v>
      </c>
      <c r="D47" s="254" t="s">
        <v>373</v>
      </c>
      <c r="E47" s="254" t="s">
        <v>374</v>
      </c>
      <c r="F47" s="257" t="s">
        <v>375</v>
      </c>
      <c r="G47" s="254" t="s">
        <v>97</v>
      </c>
      <c r="H47" s="251">
        <v>2</v>
      </c>
      <c r="I47" s="242" t="str">
        <f>IF(H47&lt;=0,"",IF(H47&lt;=2,"Muy Baja",IF(H47&lt;=24,"Baja",IF(H47&lt;=500,"Media",IF(H47&lt;=5000,"Alta","Muy Alta")))))</f>
        <v>Muy Baja</v>
      </c>
      <c r="J47" s="233">
        <f>IF(I47="","",IF(I47="Muy Baja",0.2,IF(I47="Baja",0.4,IF(I47="Media",0.6,IF(I47="Alta",0.8,IF(I47="Muy Alta",1,))))))</f>
        <v>0.2</v>
      </c>
      <c r="K47" s="239" t="s">
        <v>156</v>
      </c>
      <c r="L47" s="233" t="str">
        <f>IF(NOT(ISERROR(MATCH(K47,'Tabla Impacto'!$B$225:$B$227,0))),'Tabla Impacto'!$G$227&amp;"Por favor no seleccionar los criterios de impacto(Afectación Económica o presupuestal y Pérdida Reputacional)",K47)</f>
        <v xml:space="preserve">     El riesgo afecta la imagen de alguna área de la organización</v>
      </c>
      <c r="M47" s="242" t="str">
        <f>IF(OR(L47='Tabla Impacto'!$C$15,L47='Tabla Impacto'!$E$15),"Leve",IF(OR(L47='Tabla Impacto'!$C$16,L47='Tabla Impacto'!$E$16),"Menor",IF(OR(L47='Tabla Impacto'!$C$17,L47='Tabla Impacto'!$E$17),"Moderado",IF(OR(L47='Tabla Impacto'!$C$18,L47='Tabla Impacto'!$E$18),"Mayor",IF(OR(L47='Tabla Impacto'!$C$19,L47='Tabla Impacto'!$E$19),"Catastrófico","")))))</f>
        <v>Leve</v>
      </c>
      <c r="N47" s="233">
        <f>IF(M47="","",IF(M47="Leve",0.2,IF(M47="Menor",0.4,IF(M47="Moderado",0.6,IF(M47="Mayor",0.8,IF(M47="Catastrófico",1,))))))</f>
        <v>0.2</v>
      </c>
      <c r="O47" s="236" t="str">
        <f>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Bajo</v>
      </c>
      <c r="P47" s="141">
        <v>1</v>
      </c>
      <c r="Q47" s="158" t="s">
        <v>376</v>
      </c>
      <c r="R47" s="161" t="str">
        <f>IF(OR(S47="Preventivo",S47="Detectivo"),"Probabilidad",IF(S47="Correctivo","Impacto",""))</f>
        <v>Impacto</v>
      </c>
      <c r="S47" s="162" t="s">
        <v>185</v>
      </c>
      <c r="T47" s="162" t="s">
        <v>101</v>
      </c>
      <c r="U47" s="163" t="str">
        <f>IF(AND(S47="Preventivo",T47="Automático"),"50%",IF(AND(S47="Preventivo",T47="Manual"),"40%",IF(AND(S47="Detectivo",T47="Automático"),"40%",IF(AND(S47="Detectivo",T47="Manual"),"30%",IF(AND(S47="Correctivo",T47="Automático"),"35%",IF(AND(S47="Correctivo",T47="Manual"),"25%",""))))))</f>
        <v>25%</v>
      </c>
      <c r="V47" s="162" t="s">
        <v>102</v>
      </c>
      <c r="W47" s="162" t="s">
        <v>103</v>
      </c>
      <c r="X47" s="162" t="s">
        <v>104</v>
      </c>
      <c r="Y47" s="144">
        <f>IFERROR(IF(R47="Probabilidad",(J47-(+J47*U47)),IF(R47="Impacto",J47,"")),"")</f>
        <v>0.2</v>
      </c>
      <c r="Z47" s="164" t="str">
        <f>IFERROR(IF(Y47="","",IF(Y47&lt;=0.2,"Muy Baja",IF(Y47&lt;=0.4,"Baja",IF(Y47&lt;=0.6,"Media",IF(Y47&lt;=0.8,"Alta","Muy Alta"))))),"")</f>
        <v>Muy Baja</v>
      </c>
      <c r="AA47" s="122">
        <f>+Y47</f>
        <v>0.2</v>
      </c>
      <c r="AB47" s="164" t="str">
        <f>IFERROR(IF(AC47="","",IF(AC47&lt;=0.2,"Leve",IF(AC47&lt;=0.4,"Menor",IF(AC47&lt;=0.6,"Moderado",IF(AC47&lt;=0.8,"Mayor","Catastrófico"))))),"")</f>
        <v>Leve</v>
      </c>
      <c r="AC47" s="122">
        <f>IFERROR(IF(R47="Impacto",(N47-(+N47*U47)),IF(R47="Probabilidad",N47,"")),"")</f>
        <v>0.15000000000000002</v>
      </c>
      <c r="AD47" s="165" t="str">
        <f>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Bajo</v>
      </c>
      <c r="AE47" s="119" t="s">
        <v>105</v>
      </c>
      <c r="AF47" s="175" t="s">
        <v>382</v>
      </c>
      <c r="AG47" s="145" t="s">
        <v>360</v>
      </c>
      <c r="AH47" s="112">
        <v>45320</v>
      </c>
      <c r="AI47" s="112">
        <v>45641</v>
      </c>
      <c r="AJ47" s="157"/>
      <c r="AK47" s="113"/>
      <c r="AL47" s="156"/>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row>
    <row r="48" spans="1:70" ht="18" customHeight="1" x14ac:dyDescent="0.25">
      <c r="A48" s="261"/>
      <c r="B48" s="294"/>
      <c r="C48" s="255"/>
      <c r="D48" s="255"/>
      <c r="E48" s="255"/>
      <c r="F48" s="258"/>
      <c r="G48" s="255"/>
      <c r="H48" s="252"/>
      <c r="I48" s="243"/>
      <c r="J48" s="234"/>
      <c r="K48" s="240"/>
      <c r="L48" s="234">
        <f ca="1">IF(NOT(ISERROR(MATCH(K48,_xlfn.ANCHORARRAY(F101),0))),J103&amp;"Por favor no seleccionar los criterios de impacto",K48)</f>
        <v>0</v>
      </c>
      <c r="M48" s="243"/>
      <c r="N48" s="234"/>
      <c r="O48" s="237"/>
      <c r="P48" s="155">
        <v>2</v>
      </c>
      <c r="Q48" s="158"/>
      <c r="R48" s="148"/>
      <c r="S48" s="115"/>
      <c r="T48" s="115"/>
      <c r="U48" s="149"/>
      <c r="V48" s="115"/>
      <c r="W48" s="115"/>
      <c r="X48" s="115"/>
      <c r="Y48" s="150"/>
      <c r="Z48" s="152"/>
      <c r="AA48" s="151"/>
      <c r="AB48" s="152"/>
      <c r="AC48" s="151"/>
      <c r="AD48" s="153"/>
      <c r="AE48" s="154"/>
      <c r="AF48" s="113"/>
      <c r="AG48" s="156"/>
      <c r="AH48" s="157"/>
      <c r="AI48" s="157"/>
      <c r="AJ48" s="157"/>
      <c r="AK48" s="113"/>
      <c r="AL48" s="156"/>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row>
    <row r="49" spans="1:70" ht="18" customHeight="1" x14ac:dyDescent="0.25">
      <c r="A49" s="261"/>
      <c r="B49" s="294"/>
      <c r="C49" s="255"/>
      <c r="D49" s="255"/>
      <c r="E49" s="255"/>
      <c r="F49" s="258"/>
      <c r="G49" s="255"/>
      <c r="H49" s="252"/>
      <c r="I49" s="243"/>
      <c r="J49" s="234"/>
      <c r="K49" s="240"/>
      <c r="L49" s="234">
        <f ca="1">IF(NOT(ISERROR(MATCH(K49,_xlfn.ANCHORARRAY(F102),0))),J104&amp;"Por favor no seleccionar los criterios de impacto",K49)</f>
        <v>0</v>
      </c>
      <c r="M49" s="243"/>
      <c r="N49" s="234"/>
      <c r="O49" s="237"/>
      <c r="P49" s="155">
        <v>3</v>
      </c>
      <c r="Q49" s="147"/>
      <c r="R49" s="148"/>
      <c r="S49" s="115"/>
      <c r="T49" s="115"/>
      <c r="U49" s="149"/>
      <c r="V49" s="115"/>
      <c r="W49" s="115"/>
      <c r="X49" s="115"/>
      <c r="Y49" s="150"/>
      <c r="Z49" s="152"/>
      <c r="AA49" s="151"/>
      <c r="AB49" s="152"/>
      <c r="AC49" s="151"/>
      <c r="AD49" s="153"/>
      <c r="AE49" s="154"/>
      <c r="AF49" s="113"/>
      <c r="AG49" s="156"/>
      <c r="AH49" s="157"/>
      <c r="AI49" s="157"/>
      <c r="AJ49" s="157"/>
      <c r="AK49" s="113"/>
      <c r="AL49" s="156"/>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row>
    <row r="50" spans="1:70" ht="18" customHeight="1" x14ac:dyDescent="0.25">
      <c r="A50" s="261"/>
      <c r="B50" s="294"/>
      <c r="C50" s="255"/>
      <c r="D50" s="255"/>
      <c r="E50" s="255"/>
      <c r="F50" s="258"/>
      <c r="G50" s="255"/>
      <c r="H50" s="252"/>
      <c r="I50" s="243"/>
      <c r="J50" s="234"/>
      <c r="K50" s="240"/>
      <c r="L50" s="234">
        <f ca="1">IF(NOT(ISERROR(MATCH(K50,_xlfn.ANCHORARRAY(F103),0))),J105&amp;"Por favor no seleccionar los criterios de impacto",K50)</f>
        <v>0</v>
      </c>
      <c r="M50" s="243"/>
      <c r="N50" s="234"/>
      <c r="O50" s="237"/>
      <c r="P50" s="155">
        <v>4</v>
      </c>
      <c r="Q50" s="158"/>
      <c r="R50" s="148"/>
      <c r="S50" s="115"/>
      <c r="T50" s="115"/>
      <c r="U50" s="149"/>
      <c r="V50" s="115"/>
      <c r="W50" s="115"/>
      <c r="X50" s="115"/>
      <c r="Y50" s="150"/>
      <c r="Z50" s="152"/>
      <c r="AA50" s="151"/>
      <c r="AB50" s="152"/>
      <c r="AC50" s="151"/>
      <c r="AD50" s="153"/>
      <c r="AE50" s="154"/>
      <c r="AF50" s="113"/>
      <c r="AG50" s="156"/>
      <c r="AH50" s="157"/>
      <c r="AI50" s="157"/>
      <c r="AJ50" s="157"/>
      <c r="AK50" s="113"/>
      <c r="AL50" s="156"/>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row>
    <row r="51" spans="1:70" ht="18" customHeight="1" x14ac:dyDescent="0.25">
      <c r="A51" s="261"/>
      <c r="B51" s="294"/>
      <c r="C51" s="255"/>
      <c r="D51" s="255"/>
      <c r="E51" s="255"/>
      <c r="F51" s="258"/>
      <c r="G51" s="255"/>
      <c r="H51" s="252"/>
      <c r="I51" s="243"/>
      <c r="J51" s="234"/>
      <c r="K51" s="240"/>
      <c r="L51" s="234">
        <f ca="1">IF(NOT(ISERROR(MATCH(K51,_xlfn.ANCHORARRAY(F104),0))),J106&amp;"Por favor no seleccionar los criterios de impacto",K51)</f>
        <v>0</v>
      </c>
      <c r="M51" s="243"/>
      <c r="N51" s="234"/>
      <c r="O51" s="237"/>
      <c r="P51" s="155">
        <v>5</v>
      </c>
      <c r="Q51" s="158"/>
      <c r="R51" s="148"/>
      <c r="S51" s="115"/>
      <c r="T51" s="115"/>
      <c r="U51" s="149"/>
      <c r="V51" s="115"/>
      <c r="W51" s="115"/>
      <c r="X51" s="115"/>
      <c r="Y51" s="150"/>
      <c r="Z51" s="152"/>
      <c r="AA51" s="151"/>
      <c r="AB51" s="152"/>
      <c r="AC51" s="151"/>
      <c r="AD51" s="153"/>
      <c r="AE51" s="154"/>
      <c r="AF51" s="113"/>
      <c r="AG51" s="156"/>
      <c r="AH51" s="157"/>
      <c r="AI51" s="157"/>
      <c r="AJ51" s="157"/>
      <c r="AK51" s="113"/>
      <c r="AL51" s="156"/>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row>
    <row r="52" spans="1:70" ht="74.25" customHeight="1" x14ac:dyDescent="0.25">
      <c r="A52" s="262"/>
      <c r="B52" s="295"/>
      <c r="C52" s="256"/>
      <c r="D52" s="256"/>
      <c r="E52" s="256"/>
      <c r="F52" s="259"/>
      <c r="G52" s="256"/>
      <c r="H52" s="253"/>
      <c r="I52" s="244"/>
      <c r="J52" s="235"/>
      <c r="K52" s="241"/>
      <c r="L52" s="235">
        <f ca="1">IF(NOT(ISERROR(MATCH(K52,_xlfn.ANCHORARRAY(F105),0))),J107&amp;"Por favor no seleccionar los criterios de impacto",K52)</f>
        <v>0</v>
      </c>
      <c r="M52" s="244"/>
      <c r="N52" s="235"/>
      <c r="O52" s="238"/>
      <c r="P52" s="155">
        <v>6</v>
      </c>
      <c r="Q52" s="158"/>
      <c r="R52" s="148"/>
      <c r="S52" s="115"/>
      <c r="T52" s="115"/>
      <c r="U52" s="149"/>
      <c r="V52" s="115"/>
      <c r="W52" s="115"/>
      <c r="X52" s="115"/>
      <c r="Y52" s="150"/>
      <c r="Z52" s="152"/>
      <c r="AA52" s="151"/>
      <c r="AB52" s="152"/>
      <c r="AC52" s="151"/>
      <c r="AD52" s="153"/>
      <c r="AE52" s="154"/>
      <c r="AF52" s="113"/>
      <c r="AG52" s="156"/>
      <c r="AH52" s="157"/>
      <c r="AI52" s="157"/>
      <c r="AJ52" s="157"/>
      <c r="AK52" s="113"/>
      <c r="AL52" s="156"/>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row>
    <row r="53" spans="1:70" ht="156" customHeight="1" x14ac:dyDescent="0.25">
      <c r="A53" s="260">
        <v>8</v>
      </c>
      <c r="B53" s="293" t="s">
        <v>361</v>
      </c>
      <c r="C53" s="281" t="s">
        <v>93</v>
      </c>
      <c r="D53" s="284" t="s">
        <v>333</v>
      </c>
      <c r="E53" s="284" t="s">
        <v>347</v>
      </c>
      <c r="F53" s="287" t="s">
        <v>348</v>
      </c>
      <c r="G53" s="290" t="s">
        <v>97</v>
      </c>
      <c r="H53" s="251">
        <v>2</v>
      </c>
      <c r="I53" s="242" t="str">
        <f>IF(H53&lt;=0,"",IF(H53&lt;=2,"Muy Baja",IF(H53&lt;=24,"Baja",IF(H53&lt;=500,"Media",IF(H53&lt;=5000,"Alta","Muy Alta")))))</f>
        <v>Muy Baja</v>
      </c>
      <c r="J53" s="233">
        <f>IF(I53="","",IF(I53="Muy Baja",0.2,IF(I53="Baja",0.4,IF(I53="Media",0.6,IF(I53="Alta",0.8,IF(I53="Muy Alta",1,))))))</f>
        <v>0.2</v>
      </c>
      <c r="K53" s="239" t="s">
        <v>159</v>
      </c>
      <c r="L53" s="213" t="str">
        <f>IF(NOT(ISERROR(MATCH(K53,'[1]Tabla Impacto'!$B$225:$B$227,0))),'[1]Tabla Impacto'!$G$227&amp;"Por favor no seleccionar los criterios de impacto(Afectación Económica o presupuestal y Pérdida Reputacional)",K53)</f>
        <v xml:space="preserve">     El riesgo afecta la imagen de la entidad internamente, de conocimiento general, nivel interno, de junta dircetiva y accionistas y/o de provedores</v>
      </c>
      <c r="M53" s="242" t="str">
        <f>IF(OR(L53='[1]Tabla Impacto'!$C$15,L53='[1]Tabla Impacto'!$E$15),"Leve",IF(OR(L53='[1]Tabla Impacto'!$C$16,L53='[1]Tabla Impacto'!$E$16),"Menor",IF(OR(L53='[1]Tabla Impacto'!$C$17,L53='[1]Tabla Impacto'!$E$17),"Moderado",IF(OR(L53='[1]Tabla Impacto'!$C$18,L53='[1]Tabla Impacto'!$E$18),"Mayor",IF(OR(L53='[1]Tabla Impacto'!$C$19,L53='[1]Tabla Impacto'!$E$19),"Catastrófico","")))))</f>
        <v>Menor</v>
      </c>
      <c r="N53" s="233">
        <f>IF(M53="","",IF(M53="Leve",0.2,IF(M53="Menor",0.4,IF(M53="Moderado",0.6,IF(M53="Mayor",0.8,IF(M53="Catastrófico",1,))))))</f>
        <v>0.4</v>
      </c>
      <c r="O53" s="236" t="str">
        <f>IF(OR(AND(I53="Muy Baja",M53="Leve"),AND(I53="Muy Baja",M53="Menor"),AND(I53="Baja",M53="Leve")),"Bajo",IF(OR(AND(I53="Muy baja",M53="Moderado"),AND(I53="Baja",M53="Menor"),AND(I53="Baja",M53="Moderado"),AND(I53="Media",M53="Leve"),AND(I53="Media",M53="Menor"),AND(I53="Media",M53="Moderado"),AND(I53="Alta",M53="Leve"),AND(I53="Alta",M53="Menor")),"Moderado",IF(OR(AND(I53="Muy Baja",M53="Mayor"),AND(I53="Baja",M53="Mayor"),AND(I53="Media",M53="Mayor"),AND(I53="Alta",M53="Moderado"),AND(I53="Alta",M53="Mayor"),AND(I53="Muy Alta",M53="Leve"),AND(I53="Muy Alta",M53="Menor"),AND(I53="Muy Alta",M53="Moderado"),AND(I53="Muy Alta",M53="Mayor")),"Alto",IF(OR(AND(I53="Muy Baja",M53="Catastrófico"),AND(I53="Baja",M53="Catastrófico"),AND(I53="Media",M53="Catastrófico"),AND(I53="Alta",M53="Catastrófico"),AND(I53="Muy Alta",M53="Catastrófico")),"Extremo",""))))</f>
        <v>Bajo</v>
      </c>
      <c r="P53" s="141">
        <v>1</v>
      </c>
      <c r="Q53" s="158" t="s">
        <v>362</v>
      </c>
      <c r="R53" s="161" t="str">
        <f>IF(OR(S53="Preventivo",S53="Detectivo"),"Probabilidad",IF(S53="Correctivo","Impacto",""))</f>
        <v>Impacto</v>
      </c>
      <c r="S53" s="162" t="s">
        <v>185</v>
      </c>
      <c r="T53" s="162" t="s">
        <v>101</v>
      </c>
      <c r="U53" s="163" t="str">
        <f>IF(AND(S53="Preventivo",T53="Automático"),"50%",IF(AND(S53="Preventivo",T53="Manual"),"40%",IF(AND(S53="Detectivo",T53="Automático"),"40%",IF(AND(S53="Detectivo",T53="Manual"),"30%",IF(AND(S53="Correctivo",T53="Automático"),"35%",IF(AND(S53="Correctivo",T53="Manual"),"25%",""))))))</f>
        <v>25%</v>
      </c>
      <c r="V53" s="162" t="s">
        <v>102</v>
      </c>
      <c r="W53" s="162" t="s">
        <v>103</v>
      </c>
      <c r="X53" s="162" t="s">
        <v>104</v>
      </c>
      <c r="Y53" s="170">
        <f>IFERROR(IF(R53="Probabilidad",(J53-(+J53*U53)),IF(R53="Impacto",J53,"")),"")</f>
        <v>0.2</v>
      </c>
      <c r="Z53" s="164" t="str">
        <f>IFERROR(IF(Y53="","",IF(Y53&lt;=0.2,"Muy Baja",IF(Y53&lt;=0.4,"Baja",IF(Y53&lt;=0.6,"Media",IF(Y53&lt;=0.8,"Alta","Muy Alta"))))),"")</f>
        <v>Muy Baja</v>
      </c>
      <c r="AA53" s="122">
        <f>+Y53</f>
        <v>0.2</v>
      </c>
      <c r="AB53" s="164" t="str">
        <f>IFERROR(IF(AC53="","",IF(AC53&lt;=0.2,"Leve",IF(AC53&lt;=0.4,"Menor",IF(AC53&lt;=0.6,"Moderado",IF(AC53&lt;=0.8,"Mayor","Catastrófico"))))),"")</f>
        <v>Menor</v>
      </c>
      <c r="AC53" s="122">
        <f>IFERROR(IF(R53="Impacto",(N53-(+N53*U53)),IF(R53="Probabilidad",N53,"")),"")</f>
        <v>0.30000000000000004</v>
      </c>
      <c r="AD53" s="165"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Bajo</v>
      </c>
      <c r="AE53" s="119" t="s">
        <v>105</v>
      </c>
      <c r="AF53" s="117" t="s">
        <v>357</v>
      </c>
      <c r="AG53" s="145" t="s">
        <v>358</v>
      </c>
      <c r="AH53" s="112">
        <v>45320</v>
      </c>
      <c r="AI53" s="112">
        <v>45641</v>
      </c>
      <c r="AJ53" s="157"/>
      <c r="AK53" s="113"/>
      <c r="AL53" s="156"/>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row>
    <row r="54" spans="1:70" ht="174" customHeight="1" x14ac:dyDescent="0.25">
      <c r="A54" s="261"/>
      <c r="B54" s="294"/>
      <c r="C54" s="282"/>
      <c r="D54" s="285"/>
      <c r="E54" s="285"/>
      <c r="F54" s="288"/>
      <c r="G54" s="291"/>
      <c r="H54" s="252"/>
      <c r="I54" s="243"/>
      <c r="J54" s="234"/>
      <c r="K54" s="240"/>
      <c r="L54" s="214">
        <f ca="1">IF(NOT(ISERROR(MATCH(K54,_xlfn.ANCHORARRAY(F17),0))),J19&amp;"Por favor no seleccionar los criterios de impacto",K54)</f>
        <v>0</v>
      </c>
      <c r="M54" s="243"/>
      <c r="N54" s="234"/>
      <c r="O54" s="237"/>
      <c r="P54" s="155">
        <v>2</v>
      </c>
      <c r="Q54" s="158" t="s">
        <v>378</v>
      </c>
      <c r="R54" s="161" t="str">
        <f>IF(OR(S54="Preventivo",S54="Detectivo"),"Probabilidad",IF(S54="Correctivo","Impacto",""))</f>
        <v>Impacto</v>
      </c>
      <c r="S54" s="162" t="s">
        <v>185</v>
      </c>
      <c r="T54" s="162" t="s">
        <v>101</v>
      </c>
      <c r="U54" s="163" t="str">
        <f t="shared" ref="U54:U55" si="40">IF(AND(S54="Preventivo",T54="Automático"),"50%",IF(AND(S54="Preventivo",T54="Manual"),"40%",IF(AND(S54="Detectivo",T54="Automático"),"40%",IF(AND(S54="Detectivo",T54="Manual"),"30%",IF(AND(S54="Correctivo",T54="Automático"),"35%",IF(AND(S54="Correctivo",T54="Manual"),"25%",""))))))</f>
        <v>25%</v>
      </c>
      <c r="V54" s="162" t="s">
        <v>102</v>
      </c>
      <c r="W54" s="162" t="s">
        <v>103</v>
      </c>
      <c r="X54" s="162" t="s">
        <v>104</v>
      </c>
      <c r="Y54" s="144">
        <f>IFERROR(IF(AND(R53="Probabilidad",R54="Probabilidad"),(AA53-(+AA53*U54)),IF(R54="Probabilidad",(J53-(+J53*U54)),IF(R54="Impacto",AA53,""))),"")</f>
        <v>0.2</v>
      </c>
      <c r="Z54" s="164" t="str">
        <f t="shared" ref="Z54:Z55" si="41">IFERROR(IF(Y54="","",IF(Y54&lt;=0.2,"Muy Baja",IF(Y54&lt;=0.4,"Baja",IF(Y54&lt;=0.6,"Media",IF(Y54&lt;=0.8,"Alta","Muy Alta"))))),"")</f>
        <v>Muy Baja</v>
      </c>
      <c r="AA54" s="122">
        <f t="shared" ref="AA54:AA55" si="42">+Y54</f>
        <v>0.2</v>
      </c>
      <c r="AB54" s="164" t="str">
        <f t="shared" ref="AB54:AB55" si="43">IFERROR(IF(AC54="","",IF(AC54&lt;=0.2,"Leve",IF(AC54&lt;=0.4,"Menor",IF(AC54&lt;=0.6,"Moderado",IF(AC54&lt;=0.8,"Mayor","Catastrófico"))))),"")</f>
        <v>Menor</v>
      </c>
      <c r="AC54" s="122">
        <f>IFERROR(IF(AND(R53="Impacto",R54="Impacto"),(AC53-(+AC53*U54)),IF(R54="Impacto",(N53-(+N53*U54)),IF(R54="Probabilidad",AC53,""))),"")</f>
        <v>0.22500000000000003</v>
      </c>
      <c r="AD54" s="165" t="str">
        <f t="shared" ref="AD54:AD55" si="44">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Bajo</v>
      </c>
      <c r="AE54" s="119" t="s">
        <v>105</v>
      </c>
      <c r="AF54" s="113" t="s">
        <v>377</v>
      </c>
      <c r="AG54" s="145" t="s">
        <v>363</v>
      </c>
      <c r="AH54" s="112">
        <v>45320</v>
      </c>
      <c r="AI54" s="112">
        <v>45641</v>
      </c>
      <c r="AJ54" s="157"/>
      <c r="AK54" s="113"/>
      <c r="AL54" s="156"/>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row>
    <row r="55" spans="1:70" ht="127.5" customHeight="1" x14ac:dyDescent="0.25">
      <c r="A55" s="261"/>
      <c r="B55" s="294"/>
      <c r="C55" s="282"/>
      <c r="D55" s="285"/>
      <c r="E55" s="285"/>
      <c r="F55" s="288"/>
      <c r="G55" s="291"/>
      <c r="H55" s="252"/>
      <c r="I55" s="243"/>
      <c r="J55" s="234"/>
      <c r="K55" s="240"/>
      <c r="L55" s="214">
        <f ca="1">IF(NOT(ISERROR(MATCH(K55,_xlfn.ANCHORARRAY(F18),0))),J20&amp;"Por favor no seleccionar los criterios de impacto",K55)</f>
        <v>0</v>
      </c>
      <c r="M55" s="243"/>
      <c r="N55" s="234"/>
      <c r="O55" s="237"/>
      <c r="P55" s="155">
        <v>3</v>
      </c>
      <c r="Q55" s="158" t="s">
        <v>365</v>
      </c>
      <c r="R55" s="161" t="s">
        <v>110</v>
      </c>
      <c r="S55" s="162" t="s">
        <v>338</v>
      </c>
      <c r="T55" s="162" t="s">
        <v>101</v>
      </c>
      <c r="U55" s="163" t="str">
        <f t="shared" si="40"/>
        <v>40%</v>
      </c>
      <c r="V55" s="162" t="s">
        <v>102</v>
      </c>
      <c r="W55" s="162" t="s">
        <v>103</v>
      </c>
      <c r="X55" s="162" t="s">
        <v>104</v>
      </c>
      <c r="Y55" s="144">
        <f>IFERROR(IF(AND(R54="Probabilidad",R55="Probabilidad"),(AA54-(+AA54*U55)),IF(R55="Probabilidad",(J54-(+J54*U55)),IF(R55="Impacto",AA54,""))),"")</f>
        <v>0</v>
      </c>
      <c r="Z55" s="164" t="str">
        <f t="shared" si="41"/>
        <v>Muy Baja</v>
      </c>
      <c r="AA55" s="122">
        <f t="shared" si="42"/>
        <v>0</v>
      </c>
      <c r="AB55" s="164" t="str">
        <f t="shared" si="43"/>
        <v>Menor</v>
      </c>
      <c r="AC55" s="122">
        <f>IFERROR(IF(AND(R54="Impacto",R55="Impacto"),(AC54-(+AC54*U55)),IF(R55="Impacto",(N54-(+N54*U55)),IF(R55="Probabilidad",AC54,""))),"")</f>
        <v>0.22500000000000003</v>
      </c>
      <c r="AD55" s="165" t="str">
        <f t="shared" si="44"/>
        <v>Bajo</v>
      </c>
      <c r="AE55" s="119" t="s">
        <v>105</v>
      </c>
      <c r="AF55" s="145" t="s">
        <v>379</v>
      </c>
      <c r="AG55" s="145" t="s">
        <v>364</v>
      </c>
      <c r="AH55" s="112">
        <v>45320</v>
      </c>
      <c r="AI55" s="112">
        <v>45641</v>
      </c>
      <c r="AJ55" s="157"/>
      <c r="AK55" s="113"/>
      <c r="AL55" s="156"/>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row>
    <row r="56" spans="1:70" ht="165" customHeight="1" x14ac:dyDescent="0.25">
      <c r="A56" s="261"/>
      <c r="B56" s="294"/>
      <c r="C56" s="282"/>
      <c r="D56" s="285"/>
      <c r="E56" s="285"/>
      <c r="F56" s="288"/>
      <c r="G56" s="291"/>
      <c r="H56" s="252"/>
      <c r="I56" s="243"/>
      <c r="J56" s="234"/>
      <c r="K56" s="240"/>
      <c r="L56" s="214">
        <f ca="1">IF(NOT(ISERROR(MATCH(K56,_xlfn.ANCHORARRAY(F19),0))),J21&amp;"Por favor no seleccionar los criterios de impacto",K56)</f>
        <v>0</v>
      </c>
      <c r="M56" s="243"/>
      <c r="N56" s="234"/>
      <c r="O56" s="237"/>
      <c r="P56" s="155">
        <v>4</v>
      </c>
      <c r="Q56" s="116" t="s">
        <v>380</v>
      </c>
      <c r="R56" s="143" t="str">
        <f>IF(OR(S56="Preventivo",S56="Detectivo"),"Probabilidad",IF(S56="Correctivo","Impacto",""))</f>
        <v>Probabilidad</v>
      </c>
      <c r="S56" s="119" t="s">
        <v>100</v>
      </c>
      <c r="T56" s="119" t="s">
        <v>101</v>
      </c>
      <c r="U56" s="122" t="str">
        <f>IF(AND(S56="Preventivo",T56="Automático"),"50%",IF(AND(S56="Preventivo",T56="Manual"),"40%",IF(AND(S56="Detectivo",T56="Automático"),"40%",IF(AND(S56="Detectivo",T56="Manual"),"30%",IF(AND(S56="Correctivo",T56="Automático"),"35%",IF(AND(S56="Correctivo",T56="Manual"),"25%",""))))))</f>
        <v>40%</v>
      </c>
      <c r="V56" s="119" t="s">
        <v>102</v>
      </c>
      <c r="W56" s="119" t="s">
        <v>103</v>
      </c>
      <c r="X56" s="119" t="s">
        <v>104</v>
      </c>
      <c r="Y56" s="144">
        <f>IFERROR(IF(R56="Probabilidad",(J56-(+J56*U56)),IF(R56="Impacto",J56,"")),"")</f>
        <v>0</v>
      </c>
      <c r="Z56" s="118" t="str">
        <f>IFERROR(IF(Y56="","",IF(Y56&lt;=0.2,"Muy Baja",IF(Y56&lt;=0.4,"Baja",IF(Y56&lt;=0.6,"Media",IF(Y56&lt;=0.8,"Alta","Muy Alta"))))),"")</f>
        <v>Muy Baja</v>
      </c>
      <c r="AA56" s="122">
        <f>+Y56</f>
        <v>0</v>
      </c>
      <c r="AB56" s="118" t="str">
        <f>IFERROR(IF(AC56="","",IF(AC56&lt;=0.2,"Leve",IF(AC56&lt;=0.4,"Menor",IF(AC56&lt;=0.6,"Moderado",IF(AC56&lt;=0.8,"Mayor","Catastrófico"))))),"")</f>
        <v>Leve</v>
      </c>
      <c r="AC56" s="122">
        <f>IFERROR(IF(R56="Impacto",(N56-(+N56*U56)),IF(R56="Probabilidad",N56,"")),"")</f>
        <v>0</v>
      </c>
      <c r="AD56" s="127" t="str">
        <f>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Bajo</v>
      </c>
      <c r="AE56" s="119" t="s">
        <v>105</v>
      </c>
      <c r="AF56" s="117" t="s">
        <v>357</v>
      </c>
      <c r="AG56" s="145" t="s">
        <v>358</v>
      </c>
      <c r="AH56" s="112">
        <v>45320</v>
      </c>
      <c r="AI56" s="112">
        <v>45641</v>
      </c>
      <c r="AJ56" s="157"/>
      <c r="AK56" s="113"/>
      <c r="AL56" s="156"/>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row>
    <row r="57" spans="1:70" ht="18" customHeight="1" x14ac:dyDescent="0.25">
      <c r="A57" s="261"/>
      <c r="B57" s="294"/>
      <c r="C57" s="282"/>
      <c r="D57" s="285"/>
      <c r="E57" s="285"/>
      <c r="F57" s="288"/>
      <c r="G57" s="291"/>
      <c r="H57" s="252"/>
      <c r="I57" s="243"/>
      <c r="J57" s="234"/>
      <c r="K57" s="240"/>
      <c r="L57" s="214">
        <f ca="1">IF(NOT(ISERROR(MATCH(K57,_xlfn.ANCHORARRAY(F20),0))),J22&amp;"Por favor no seleccionar los criterios de impacto",K57)</f>
        <v>0</v>
      </c>
      <c r="M57" s="243"/>
      <c r="N57" s="234"/>
      <c r="O57" s="237"/>
      <c r="P57" s="155">
        <v>5</v>
      </c>
      <c r="Q57" s="158"/>
      <c r="R57" s="148"/>
      <c r="S57" s="115"/>
      <c r="T57" s="115"/>
      <c r="U57" s="149"/>
      <c r="V57" s="115"/>
      <c r="W57" s="115"/>
      <c r="X57" s="115"/>
      <c r="Y57" s="150"/>
      <c r="Z57" s="152"/>
      <c r="AA57" s="151"/>
      <c r="AB57" s="152"/>
      <c r="AC57" s="151"/>
      <c r="AD57" s="153"/>
      <c r="AE57" s="154"/>
      <c r="AF57" s="113"/>
      <c r="AG57" s="156"/>
      <c r="AH57" s="157"/>
      <c r="AI57" s="157"/>
      <c r="AJ57" s="157"/>
      <c r="AK57" s="113"/>
      <c r="AL57" s="156"/>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row>
    <row r="58" spans="1:70" ht="81.75" customHeight="1" x14ac:dyDescent="0.25">
      <c r="A58" s="262"/>
      <c r="B58" s="295"/>
      <c r="C58" s="283"/>
      <c r="D58" s="286"/>
      <c r="E58" s="286"/>
      <c r="F58" s="289"/>
      <c r="G58" s="292"/>
      <c r="H58" s="253"/>
      <c r="I58" s="244"/>
      <c r="J58" s="235"/>
      <c r="K58" s="241"/>
      <c r="L58" s="215">
        <f ca="1">IF(NOT(ISERROR(MATCH(K58,_xlfn.ANCHORARRAY(F21),0))),J59&amp;"Por favor no seleccionar los criterios de impacto",K58)</f>
        <v>0</v>
      </c>
      <c r="M58" s="244"/>
      <c r="N58" s="235"/>
      <c r="O58" s="238"/>
      <c r="P58" s="155">
        <v>6</v>
      </c>
      <c r="Q58" s="158"/>
      <c r="R58" s="148"/>
      <c r="S58" s="115"/>
      <c r="T58" s="115"/>
      <c r="U58" s="149"/>
      <c r="V58" s="115"/>
      <c r="W58" s="115"/>
      <c r="X58" s="115"/>
      <c r="Y58" s="150"/>
      <c r="Z58" s="152"/>
      <c r="AA58" s="151"/>
      <c r="AB58" s="152"/>
      <c r="AC58" s="151"/>
      <c r="AD58" s="153"/>
      <c r="AE58" s="154"/>
      <c r="AF58" s="113"/>
      <c r="AG58" s="156"/>
      <c r="AH58" s="157"/>
      <c r="AI58" s="157"/>
      <c r="AJ58" s="157"/>
      <c r="AK58" s="113"/>
      <c r="AL58" s="156"/>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row>
    <row r="59" spans="1:70" ht="94.5" x14ac:dyDescent="0.25">
      <c r="A59" s="260">
        <v>9</v>
      </c>
      <c r="B59" s="293" t="s">
        <v>383</v>
      </c>
      <c r="C59" s="254" t="s">
        <v>93</v>
      </c>
      <c r="D59" s="254" t="s">
        <v>384</v>
      </c>
      <c r="E59" s="254" t="s">
        <v>385</v>
      </c>
      <c r="F59" s="257" t="s">
        <v>386</v>
      </c>
      <c r="G59" s="254"/>
      <c r="H59" s="251">
        <v>1</v>
      </c>
      <c r="I59" s="242" t="str">
        <f>IF(H59&lt;=0,"",IF(H59&lt;=2,"Muy Baja",IF(H59&lt;=24,"Baja",IF(H59&lt;=500,"Media",IF(H59&lt;=5000,"Alta","Muy Alta")))))</f>
        <v>Muy Baja</v>
      </c>
      <c r="J59" s="233">
        <f>IF(I59="","",IF(I59="Muy Baja",0.2,IF(I59="Baja",0.4,IF(I59="Media",0.6,IF(I59="Alta",0.8,IF(I59="Muy Alta",1,))))))</f>
        <v>0.2</v>
      </c>
      <c r="K59" s="239" t="s">
        <v>156</v>
      </c>
      <c r="L59" s="233" t="str">
        <f>IF(NOT(ISERROR(MATCH(K59,'Tabla Impacto'!$B$225:$B$227,0))),'Tabla Impacto'!$G$227&amp;"Por favor no seleccionar los criterios de impacto(Afectación Económica o presupuestal y Pérdida Reputacional)",K59)</f>
        <v xml:space="preserve">     El riesgo afecta la imagen de alguna área de la organización</v>
      </c>
      <c r="M59" s="242" t="str">
        <f>IF(OR(L59='Tabla Impacto'!$C$15,L59='Tabla Impacto'!$E$15),"Leve",IF(OR(L59='Tabla Impacto'!$C$16,L59='Tabla Impacto'!$E$16),"Menor",IF(OR(L59='Tabla Impacto'!$C$17,L59='Tabla Impacto'!$E$17),"Moderado",IF(OR(L59='Tabla Impacto'!$C$18,L59='Tabla Impacto'!$E$18),"Mayor",IF(OR(L59='Tabla Impacto'!$C$19,L59='Tabla Impacto'!$E$19),"Catastrófico","")))))</f>
        <v>Leve</v>
      </c>
      <c r="N59" s="233">
        <f>IF(M59="","",IF(M59="Leve",0.2,IF(M59="Menor",0.4,IF(M59="Moderado",0.6,IF(M59="Mayor",0.8,IF(M59="Catastrófico",1,))))))</f>
        <v>0.2</v>
      </c>
      <c r="O59" s="236" t="str">
        <f>IF(OR(AND(I59="Muy Baja",M59="Leve"),AND(I59="Muy Baja",M59="Menor"),AND(I59="Baja",M59="Leve")),"Bajo",IF(OR(AND(I59="Muy baja",M59="Moderado"),AND(I59="Baja",M59="Menor"),AND(I59="Baja",M59="Moderado"),AND(I59="Media",M59="Leve"),AND(I59="Media",M59="Menor"),AND(I59="Media",M59="Moderado"),AND(I59="Alta",M59="Leve"),AND(I59="Alta",M59="Menor")),"Moderado",IF(OR(AND(I59="Muy Baja",M59="Mayor"),AND(I59="Baja",M59="Mayor"),AND(I59="Media",M59="Mayor"),AND(I59="Alta",M59="Moderado"),AND(I59="Alta",M59="Mayor"),AND(I59="Muy Alta",M59="Leve"),AND(I59="Muy Alta",M59="Menor"),AND(I59="Muy Alta",M59="Moderado"),AND(I59="Muy Alta",M59="Mayor")),"Alto",IF(OR(AND(I59="Muy Baja",M59="Catastrófico"),AND(I59="Baja",M59="Catastrófico"),AND(I59="Media",M59="Catastrófico"),AND(I59="Alta",M59="Catastrófico"),AND(I59="Muy Alta",M59="Catastrófico")),"Extremo",""))))</f>
        <v>Bajo</v>
      </c>
      <c r="P59" s="141">
        <v>1</v>
      </c>
      <c r="Q59" s="158" t="s">
        <v>387</v>
      </c>
      <c r="R59" s="161" t="s">
        <v>110</v>
      </c>
      <c r="S59" s="119" t="s">
        <v>100</v>
      </c>
      <c r="T59" s="119" t="s">
        <v>101</v>
      </c>
      <c r="U59" s="122" t="str">
        <f>IF(AND(S59="Preventivo",T59="Automático"),"50%",IF(AND(S59="Preventivo",T59="Manual"),"40%",IF(AND(S59="Detectivo",T59="Automático"),"40%",IF(AND(S59="Detectivo",T59="Manual"),"30%",IF(AND(S59="Correctivo",T59="Automático"),"35%",IF(AND(S59="Correctivo",T59="Manual"),"25%",""))))))</f>
        <v>40%</v>
      </c>
      <c r="V59" s="119" t="s">
        <v>102</v>
      </c>
      <c r="W59" s="119" t="s">
        <v>103</v>
      </c>
      <c r="X59" s="119" t="s">
        <v>104</v>
      </c>
      <c r="Y59" s="144">
        <f>IFERROR(IF(R59="Probabilidad",(J59-(+J59*U59)),IF(R59="Impacto",J59,"")),"")</f>
        <v>0.12</v>
      </c>
      <c r="Z59" s="118" t="str">
        <f>IFERROR(IF(Y59="","",IF(Y59&lt;=0.2,"Muy Baja",IF(Y59&lt;=0.4,"Baja",IF(Y59&lt;=0.6,"Media",IF(Y59&lt;=0.8,"Alta","Muy Alta"))))),"")</f>
        <v>Muy Baja</v>
      </c>
      <c r="AA59" s="122">
        <f>+Y59</f>
        <v>0.12</v>
      </c>
      <c r="AB59" s="118" t="str">
        <f>IFERROR(IF(AC59="","",IF(AC59&lt;=0.2,"Leve",IF(AC59&lt;=0.4,"Menor",IF(AC59&lt;=0.6,"Moderado",IF(AC59&lt;=0.8,"Mayor","Catastrófico"))))),"")</f>
        <v>Leve</v>
      </c>
      <c r="AC59" s="122">
        <f>IFERROR(IF(R59="Impacto",(N59-(+N59*U59)),IF(R59="Probabilidad",N59,"")),"")</f>
        <v>0.2</v>
      </c>
      <c r="AD59" s="127" t="str">
        <f>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Bajo</v>
      </c>
      <c r="AE59" s="119" t="s">
        <v>105</v>
      </c>
      <c r="AF59" s="145" t="s">
        <v>388</v>
      </c>
      <c r="AG59" s="145" t="s">
        <v>108</v>
      </c>
      <c r="AH59" s="112">
        <v>45320</v>
      </c>
      <c r="AI59" s="112">
        <v>45641</v>
      </c>
      <c r="AJ59" s="157"/>
      <c r="AK59" s="113"/>
      <c r="AL59" s="156"/>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row>
    <row r="60" spans="1:70" ht="18" customHeight="1" x14ac:dyDescent="0.25">
      <c r="A60" s="261"/>
      <c r="B60" s="294"/>
      <c r="C60" s="255"/>
      <c r="D60" s="255"/>
      <c r="E60" s="255"/>
      <c r="F60" s="258"/>
      <c r="G60" s="255"/>
      <c r="H60" s="252"/>
      <c r="I60" s="243"/>
      <c r="J60" s="234"/>
      <c r="K60" s="240"/>
      <c r="L60" s="234">
        <f ca="1">IF(NOT(ISERROR(MATCH(K60,_xlfn.ANCHORARRAY(F83),0))),J85&amp;"Por favor no seleccionar los criterios de impacto",K60)</f>
        <v>0</v>
      </c>
      <c r="M60" s="243"/>
      <c r="N60" s="234"/>
      <c r="O60" s="237"/>
      <c r="P60" s="155">
        <v>2</v>
      </c>
      <c r="Q60" s="158"/>
      <c r="R60" s="148" t="str">
        <f>IF(OR(S60="Preventivo",S60="Detectivo"),"Probabilidad",IF(S60="Correctivo","Impacto",""))</f>
        <v/>
      </c>
      <c r="S60" s="115"/>
      <c r="T60" s="115"/>
      <c r="U60" s="149" t="str">
        <f t="shared" ref="U60:U64" si="45">IF(AND(S60="Preventivo",T60="Automático"),"50%",IF(AND(S60="Preventivo",T60="Manual"),"40%",IF(AND(S60="Detectivo",T60="Automático"),"40%",IF(AND(S60="Detectivo",T60="Manual"),"30%",IF(AND(S60="Correctivo",T60="Automático"),"35%",IF(AND(S60="Correctivo",T60="Manual"),"25%",""))))))</f>
        <v/>
      </c>
      <c r="V60" s="115"/>
      <c r="W60" s="115"/>
      <c r="X60" s="115"/>
      <c r="Y60" s="150" t="str">
        <f>IFERROR(IF(AND(R59="Probabilidad",R60="Probabilidad"),(AA59-(+AA59*U60)),IF(R60="Probabilidad",(J59-(+J59*U60)),IF(R60="Impacto",AA59,""))),"")</f>
        <v/>
      </c>
      <c r="Z60" s="152" t="str">
        <f t="shared" ref="Z60:Z70" si="46">IFERROR(IF(Y60="","",IF(Y60&lt;=0.2,"Muy Baja",IF(Y60&lt;=0.4,"Baja",IF(Y60&lt;=0.6,"Media",IF(Y60&lt;=0.8,"Alta","Muy Alta"))))),"")</f>
        <v/>
      </c>
      <c r="AA60" s="151" t="str">
        <f t="shared" ref="AA60:AA64" si="47">+Y60</f>
        <v/>
      </c>
      <c r="AB60" s="152" t="str">
        <f t="shared" ref="AB60:AB70" si="48">IFERROR(IF(AC60="","",IF(AC60&lt;=0.2,"Leve",IF(AC60&lt;=0.4,"Menor",IF(AC60&lt;=0.6,"Moderado",IF(AC60&lt;=0.8,"Mayor","Catastrófico"))))),"")</f>
        <v/>
      </c>
      <c r="AC60" s="151" t="str">
        <f>IFERROR(IF(AND(R59="Impacto",R60="Impacto"),(AC59-(+AC59*U60)),IF(R60="Impacto",(N59-(+N59*U60)),IF(R60="Probabilidad",AC59,""))),"")</f>
        <v/>
      </c>
      <c r="AD60" s="153" t="str">
        <f t="shared" ref="AD60:AD61" si="49">IFERROR(IF(OR(AND(Z60="Muy Baja",AB60="Leve"),AND(Z60="Muy Baja",AB60="Menor"),AND(Z60="Baja",AB60="Leve")),"Bajo",IF(OR(AND(Z60="Muy baja",AB60="Moderado"),AND(Z60="Baja",AB60="Menor"),AND(Z60="Baja",AB60="Moderado"),AND(Z60="Media",AB60="Leve"),AND(Z60="Media",AB60="Menor"),AND(Z60="Media",AB60="Moderado"),AND(Z60="Alta",AB60="Leve"),AND(Z60="Alta",AB60="Menor")),"Moderado",IF(OR(AND(Z60="Muy Baja",AB60="Mayor"),AND(Z60="Baja",AB60="Mayor"),AND(Z60="Media",AB60="Mayor"),AND(Z60="Alta",AB60="Moderado"),AND(Z60="Alta",AB60="Mayor"),AND(Z60="Muy Alta",AB60="Leve"),AND(Z60="Muy Alta",AB60="Menor"),AND(Z60="Muy Alta",AB60="Moderado"),AND(Z60="Muy Alta",AB60="Mayor")),"Alto",IF(OR(AND(Z60="Muy Baja",AB60="Catastrófico"),AND(Z60="Baja",AB60="Catastrófico"),AND(Z60="Media",AB60="Catastrófico"),AND(Z60="Alta",AB60="Catastrófico"),AND(Z60="Muy Alta",AB60="Catastrófico")),"Extremo","")))),"")</f>
        <v/>
      </c>
      <c r="AE60" s="154"/>
      <c r="AF60" s="113"/>
      <c r="AG60" s="156"/>
      <c r="AH60" s="157"/>
      <c r="AI60" s="157"/>
      <c r="AJ60" s="157"/>
      <c r="AK60" s="113"/>
      <c r="AL60" s="156"/>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row>
    <row r="61" spans="1:70" ht="18" customHeight="1" x14ac:dyDescent="0.25">
      <c r="A61" s="261"/>
      <c r="B61" s="294"/>
      <c r="C61" s="255"/>
      <c r="D61" s="255"/>
      <c r="E61" s="255"/>
      <c r="F61" s="258"/>
      <c r="G61" s="255"/>
      <c r="H61" s="252"/>
      <c r="I61" s="243"/>
      <c r="J61" s="234"/>
      <c r="K61" s="240"/>
      <c r="L61" s="234">
        <f ca="1">IF(NOT(ISERROR(MATCH(K61,_xlfn.ANCHORARRAY(F84),0))),J86&amp;"Por favor no seleccionar los criterios de impacto",K61)</f>
        <v>0</v>
      </c>
      <c r="M61" s="243"/>
      <c r="N61" s="234"/>
      <c r="O61" s="237"/>
      <c r="P61" s="155">
        <v>3</v>
      </c>
      <c r="Q61" s="147"/>
      <c r="R61" s="148" t="str">
        <f>IF(OR(S61="Preventivo",S61="Detectivo"),"Probabilidad",IF(S61="Correctivo","Impacto",""))</f>
        <v/>
      </c>
      <c r="S61" s="115"/>
      <c r="T61" s="115"/>
      <c r="U61" s="149" t="str">
        <f t="shared" si="45"/>
        <v/>
      </c>
      <c r="V61" s="115"/>
      <c r="W61" s="115"/>
      <c r="X61" s="115"/>
      <c r="Y61" s="150" t="str">
        <f>IFERROR(IF(AND(R60="Probabilidad",R61="Probabilidad"),(AA60-(+AA60*U61)),IF(AND(R60="Impacto",R61="Probabilidad"),(AA59-(+AA59*U61)),IF(R61="Impacto",AA60,""))),"")</f>
        <v/>
      </c>
      <c r="Z61" s="152" t="str">
        <f t="shared" si="46"/>
        <v/>
      </c>
      <c r="AA61" s="151" t="str">
        <f t="shared" si="47"/>
        <v/>
      </c>
      <c r="AB61" s="152" t="str">
        <f t="shared" si="48"/>
        <v/>
      </c>
      <c r="AC61" s="151" t="str">
        <f>IFERROR(IF(AND(R60="Impacto",R61="Impacto"),(AC60-(+AC60*U61)),IF(AND(R60="Probabilidad",R61="Impacto"),(AC59-(+AC59*U61)),IF(R61="Probabilidad",AC60,""))),"")</f>
        <v/>
      </c>
      <c r="AD61" s="153" t="str">
        <f t="shared" si="49"/>
        <v/>
      </c>
      <c r="AE61" s="154"/>
      <c r="AF61" s="113"/>
      <c r="AG61" s="156"/>
      <c r="AH61" s="157"/>
      <c r="AI61" s="157"/>
      <c r="AJ61" s="157"/>
      <c r="AK61" s="113"/>
      <c r="AL61" s="156"/>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row>
    <row r="62" spans="1:70" ht="18" customHeight="1" x14ac:dyDescent="0.25">
      <c r="A62" s="261"/>
      <c r="B62" s="294"/>
      <c r="C62" s="255"/>
      <c r="D62" s="255"/>
      <c r="E62" s="255"/>
      <c r="F62" s="258"/>
      <c r="G62" s="255"/>
      <c r="H62" s="252"/>
      <c r="I62" s="243"/>
      <c r="J62" s="234"/>
      <c r="K62" s="240"/>
      <c r="L62" s="234">
        <f ca="1">IF(NOT(ISERROR(MATCH(K62,_xlfn.ANCHORARRAY(F85),0))),J87&amp;"Por favor no seleccionar los criterios de impacto",K62)</f>
        <v>0</v>
      </c>
      <c r="M62" s="243"/>
      <c r="N62" s="234"/>
      <c r="O62" s="237"/>
      <c r="P62" s="155">
        <v>4</v>
      </c>
      <c r="Q62" s="158"/>
      <c r="R62" s="148" t="str">
        <f t="shared" ref="R62:R64" si="50">IF(OR(S62="Preventivo",S62="Detectivo"),"Probabilidad",IF(S62="Correctivo","Impacto",""))</f>
        <v/>
      </c>
      <c r="S62" s="115"/>
      <c r="T62" s="115"/>
      <c r="U62" s="149" t="str">
        <f t="shared" si="45"/>
        <v/>
      </c>
      <c r="V62" s="115"/>
      <c r="W62" s="115"/>
      <c r="X62" s="115"/>
      <c r="Y62" s="150" t="str">
        <f t="shared" ref="Y62:Y63" si="51">IFERROR(IF(AND(R61="Probabilidad",R62="Probabilidad"),(AA61-(+AA61*U62)),IF(AND(R61="Impacto",R62="Probabilidad"),(AA60-(+AA60*U62)),IF(R62="Impacto",AA61,""))),"")</f>
        <v/>
      </c>
      <c r="Z62" s="152" t="str">
        <f t="shared" si="46"/>
        <v/>
      </c>
      <c r="AA62" s="151" t="str">
        <f t="shared" si="47"/>
        <v/>
      </c>
      <c r="AB62" s="152" t="str">
        <f t="shared" si="48"/>
        <v/>
      </c>
      <c r="AC62" s="151" t="str">
        <f t="shared" ref="AC62:AC63" si="52">IFERROR(IF(AND(R61="Impacto",R62="Impacto"),(AC61-(+AC61*U62)),IF(AND(R61="Probabilidad",R62="Impacto"),(AC60-(+AC60*U62)),IF(R62="Probabilidad",AC61,""))),"")</f>
        <v/>
      </c>
      <c r="AD62" s="153" t="str">
        <f>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54"/>
      <c r="AF62" s="113"/>
      <c r="AG62" s="156"/>
      <c r="AH62" s="157"/>
      <c r="AI62" s="157"/>
      <c r="AJ62" s="157"/>
      <c r="AK62" s="113"/>
      <c r="AL62" s="156"/>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row>
    <row r="63" spans="1:70" ht="18" customHeight="1" x14ac:dyDescent="0.25">
      <c r="A63" s="261"/>
      <c r="B63" s="294"/>
      <c r="C63" s="255"/>
      <c r="D63" s="255"/>
      <c r="E63" s="255"/>
      <c r="F63" s="258"/>
      <c r="G63" s="255"/>
      <c r="H63" s="252"/>
      <c r="I63" s="243"/>
      <c r="J63" s="234"/>
      <c r="K63" s="240"/>
      <c r="L63" s="234">
        <f ca="1">IF(NOT(ISERROR(MATCH(K63,_xlfn.ANCHORARRAY(F86),0))),J88&amp;"Por favor no seleccionar los criterios de impacto",K63)</f>
        <v>0</v>
      </c>
      <c r="M63" s="243"/>
      <c r="N63" s="234"/>
      <c r="O63" s="237"/>
      <c r="P63" s="155">
        <v>5</v>
      </c>
      <c r="Q63" s="158"/>
      <c r="R63" s="148" t="str">
        <f t="shared" si="50"/>
        <v/>
      </c>
      <c r="S63" s="115"/>
      <c r="T63" s="115"/>
      <c r="U63" s="149" t="str">
        <f t="shared" si="45"/>
        <v/>
      </c>
      <c r="V63" s="115"/>
      <c r="W63" s="115"/>
      <c r="X63" s="115"/>
      <c r="Y63" s="150" t="str">
        <f t="shared" si="51"/>
        <v/>
      </c>
      <c r="Z63" s="152" t="str">
        <f t="shared" si="46"/>
        <v/>
      </c>
      <c r="AA63" s="151" t="str">
        <f t="shared" si="47"/>
        <v/>
      </c>
      <c r="AB63" s="152" t="str">
        <f t="shared" si="48"/>
        <v/>
      </c>
      <c r="AC63" s="151" t="str">
        <f t="shared" si="52"/>
        <v/>
      </c>
      <c r="AD63" s="153" t="str">
        <f t="shared" ref="AD63:AD64" si="53">IFERROR(IF(OR(AND(Z63="Muy Baja",AB63="Leve"),AND(Z63="Muy Baja",AB63="Menor"),AND(Z63="Baja",AB63="Leve")),"Bajo",IF(OR(AND(Z63="Muy baja",AB63="Moderado"),AND(Z63="Baja",AB63="Menor"),AND(Z63="Baja",AB63="Moderado"),AND(Z63="Media",AB63="Leve"),AND(Z63="Media",AB63="Menor"),AND(Z63="Media",AB63="Moderado"),AND(Z63="Alta",AB63="Leve"),AND(Z63="Alta",AB63="Menor")),"Moderado",IF(OR(AND(Z63="Muy Baja",AB63="Mayor"),AND(Z63="Baja",AB63="Mayor"),AND(Z63="Media",AB63="Mayor"),AND(Z63="Alta",AB63="Moderado"),AND(Z63="Alta",AB63="Mayor"),AND(Z63="Muy Alta",AB63="Leve"),AND(Z63="Muy Alta",AB63="Menor"),AND(Z63="Muy Alta",AB63="Moderado"),AND(Z63="Muy Alta",AB63="Mayor")),"Alto",IF(OR(AND(Z63="Muy Baja",AB63="Catastrófico"),AND(Z63="Baja",AB63="Catastrófico"),AND(Z63="Media",AB63="Catastrófico"),AND(Z63="Alta",AB63="Catastrófico"),AND(Z63="Muy Alta",AB63="Catastrófico")),"Extremo","")))),"")</f>
        <v/>
      </c>
      <c r="AE63" s="154"/>
      <c r="AF63" s="113"/>
      <c r="AG63" s="156"/>
      <c r="AH63" s="157"/>
      <c r="AI63" s="157"/>
      <c r="AJ63" s="157"/>
      <c r="AK63" s="113"/>
      <c r="AL63" s="156"/>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row>
    <row r="64" spans="1:70" ht="18" customHeight="1" x14ac:dyDescent="0.25">
      <c r="A64" s="262"/>
      <c r="B64" s="295"/>
      <c r="C64" s="256"/>
      <c r="D64" s="256"/>
      <c r="E64" s="256"/>
      <c r="F64" s="259"/>
      <c r="G64" s="256"/>
      <c r="H64" s="253"/>
      <c r="I64" s="244"/>
      <c r="J64" s="235"/>
      <c r="K64" s="241"/>
      <c r="L64" s="235">
        <f ca="1">IF(NOT(ISERROR(MATCH(K64,_xlfn.ANCHORARRAY(F87),0))),J89&amp;"Por favor no seleccionar los criterios de impacto",K64)</f>
        <v>0</v>
      </c>
      <c r="M64" s="244"/>
      <c r="N64" s="235"/>
      <c r="O64" s="238"/>
      <c r="P64" s="155">
        <v>6</v>
      </c>
      <c r="Q64" s="158"/>
      <c r="R64" s="148" t="str">
        <f t="shared" si="50"/>
        <v/>
      </c>
      <c r="S64" s="115"/>
      <c r="T64" s="115"/>
      <c r="U64" s="149" t="str">
        <f t="shared" si="45"/>
        <v/>
      </c>
      <c r="V64" s="115"/>
      <c r="W64" s="115"/>
      <c r="X64" s="115"/>
      <c r="Y64" s="150" t="str">
        <f>IFERROR(IF(AND(R63="Probabilidad",R64="Probabilidad"),(AA63-(+AA63*U64)),IF(AND(R63="Impacto",R64="Probabilidad"),(AA62-(+AA62*U64)),IF(R64="Impacto",AA63,""))),"")</f>
        <v/>
      </c>
      <c r="Z64" s="152" t="str">
        <f t="shared" si="46"/>
        <v/>
      </c>
      <c r="AA64" s="151" t="str">
        <f t="shared" si="47"/>
        <v/>
      </c>
      <c r="AB64" s="152" t="str">
        <f t="shared" si="48"/>
        <v/>
      </c>
      <c r="AC64" s="151" t="str">
        <f>IFERROR(IF(AND(R63="Impacto",R64="Impacto"),(AC63-(+AC63*U64)),IF(AND(R63="Probabilidad",R64="Impacto"),(AC62-(+AC62*U64)),IF(R64="Probabilidad",AC63,""))),"")</f>
        <v/>
      </c>
      <c r="AD64" s="153" t="str">
        <f t="shared" si="53"/>
        <v/>
      </c>
      <c r="AE64" s="154"/>
      <c r="AF64" s="113"/>
      <c r="AG64" s="156"/>
      <c r="AH64" s="157"/>
      <c r="AI64" s="157"/>
      <c r="AJ64" s="157"/>
      <c r="AK64" s="113"/>
      <c r="AL64" s="156"/>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row>
    <row r="65" spans="1:70" ht="18" hidden="1" customHeight="1" x14ac:dyDescent="0.25">
      <c r="A65" s="260"/>
      <c r="B65" s="140"/>
      <c r="C65" s="272"/>
      <c r="D65" s="272"/>
      <c r="E65" s="272"/>
      <c r="F65" s="275"/>
      <c r="G65" s="272"/>
      <c r="H65" s="299"/>
      <c r="I65" s="216" t="str">
        <f>IF(H65&lt;=0,"",IF(H65&lt;=2,"Muy Baja",IF(H65&lt;=24,"Baja",IF(H65&lt;=500,"Media",IF(H65&lt;=5000,"Alta","Muy Alta")))))</f>
        <v/>
      </c>
      <c r="J65" s="213" t="str">
        <f>IF(I65="","",IF(I65="Muy Baja",0.2,IF(I65="Baja",0.4,IF(I65="Media",0.6,IF(I65="Alta",0.8,IF(I65="Muy Alta",1,))))))</f>
        <v/>
      </c>
      <c r="K65" s="210"/>
      <c r="L65" s="213">
        <f>IF(NOT(ISERROR(MATCH(K65,'Tabla Impacto'!$B$225:$B$227,0))),'Tabla Impacto'!$G$227&amp;"Por favor no seleccionar los criterios de impacto(Afectación Económica o presupuestal y Pérdida Reputacional)",K65)</f>
        <v>0</v>
      </c>
      <c r="M65" s="216" t="str">
        <f>IF(OR(L65='Tabla Impacto'!$C$15,L65='Tabla Impacto'!$E$15),"Leve",IF(OR(L65='Tabla Impacto'!$C$16,L65='Tabla Impacto'!$E$16),"Menor",IF(OR(L65='Tabla Impacto'!$C$17,L65='Tabla Impacto'!$E$17),"Moderado",IF(OR(L65='Tabla Impacto'!$C$18,L65='Tabla Impacto'!$E$18),"Mayor",IF(OR(L65='Tabla Impacto'!$C$19,L65='Tabla Impacto'!$E$19),"Catastrófico","")))))</f>
        <v/>
      </c>
      <c r="N65" s="213" t="str">
        <f>IF(M65="","",IF(M65="Leve",0.2,IF(M65="Menor",0.4,IF(M65="Moderado",0.6,IF(M65="Mayor",0.8,IF(M65="Catastrófico",1,))))))</f>
        <v/>
      </c>
      <c r="O65" s="219" t="str">
        <f>IF(OR(AND(I65="Muy Baja",M65="Leve"),AND(I65="Muy Baja",M65="Menor"),AND(I65="Baja",M65="Leve")),"Bajo",IF(OR(AND(I65="Muy baja",M65="Moderado"),AND(I65="Baja",M65="Menor"),AND(I65="Baja",M65="Moderado"),AND(I65="Media",M65="Leve"),AND(I65="Media",M65="Menor"),AND(I65="Media",M65="Moderado"),AND(I65="Alta",M65="Leve"),AND(I65="Alta",M65="Menor")),"Moderado",IF(OR(AND(I65="Muy Baja",M65="Mayor"),AND(I65="Baja",M65="Mayor"),AND(I65="Media",M65="Mayor"),AND(I65="Alta",M65="Moderado"),AND(I65="Alta",M65="Mayor"),AND(I65="Muy Alta",M65="Leve"),AND(I65="Muy Alta",M65="Menor"),AND(I65="Muy Alta",M65="Moderado"),AND(I65="Muy Alta",M65="Mayor")),"Alto",IF(OR(AND(I65="Muy Baja",M65="Catastrófico"),AND(I65="Baja",M65="Catastrófico"),AND(I65="Media",M65="Catastrófico"),AND(I65="Alta",M65="Catastrófico"),AND(I65="Muy Alta",M65="Catastrófico")),"Extremo",""))))</f>
        <v/>
      </c>
      <c r="P65" s="155">
        <v>1</v>
      </c>
      <c r="Q65" s="158"/>
      <c r="R65" s="161"/>
      <c r="S65" s="162"/>
      <c r="T65" s="162"/>
      <c r="U65" s="163" t="str">
        <f>IF(AND(S65="Preventivo",T65="Automático"),"50%",IF(AND(S65="Preventivo",T65="Manual"),"40%",IF(AND(S65="Detectivo",T65="Automático"),"40%",IF(AND(S65="Detectivo",T65="Manual"),"30%",IF(AND(S65="Correctivo",T65="Automático"),"35%",IF(AND(S65="Correctivo",T65="Manual"),"25%",""))))))</f>
        <v/>
      </c>
      <c r="V65" s="162"/>
      <c r="W65" s="162"/>
      <c r="X65" s="162"/>
      <c r="Y65" s="144" t="str">
        <f>IFERROR(IF(R65="Probabilidad",(J65-(+J65*U65)),IF(R65="Impacto",J65,"")),"")</f>
        <v/>
      </c>
      <c r="Z65" s="164" t="str">
        <f t="shared" si="46"/>
        <v/>
      </c>
      <c r="AA65" s="122" t="str">
        <f>+Y65</f>
        <v/>
      </c>
      <c r="AB65" s="164" t="str">
        <f t="shared" si="48"/>
        <v/>
      </c>
      <c r="AC65" s="122" t="str">
        <f>IFERROR(IF(R65="Impacto",(N65-(+N65*U65)),IF(R65="Probabilidad",N65,"")),"")</f>
        <v/>
      </c>
      <c r="AD65" s="165" t="str">
        <f>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19"/>
      <c r="AF65" s="113"/>
      <c r="AG65" s="156"/>
      <c r="AH65" s="157"/>
      <c r="AI65" s="157"/>
      <c r="AJ65" s="157"/>
      <c r="AK65" s="113"/>
      <c r="AL65" s="156"/>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row>
    <row r="66" spans="1:70" ht="18" hidden="1" customHeight="1" x14ac:dyDescent="0.25">
      <c r="A66" s="261"/>
      <c r="B66" s="146"/>
      <c r="C66" s="273"/>
      <c r="D66" s="273"/>
      <c r="E66" s="273"/>
      <c r="F66" s="276"/>
      <c r="G66" s="273"/>
      <c r="H66" s="300"/>
      <c r="I66" s="217"/>
      <c r="J66" s="214"/>
      <c r="K66" s="211"/>
      <c r="L66" s="214">
        <f ca="1">IF(NOT(ISERROR(MATCH(K66,_xlfn.ANCHORARRAY(F89),0))),J91&amp;"Por favor no seleccionar los criterios de impacto",K66)</f>
        <v>0</v>
      </c>
      <c r="M66" s="217"/>
      <c r="N66" s="214"/>
      <c r="O66" s="220"/>
      <c r="P66" s="155">
        <v>2</v>
      </c>
      <c r="Q66" s="158"/>
      <c r="R66" s="148" t="str">
        <f>IF(OR(S66="Preventivo",S66="Detectivo"),"Probabilidad",IF(S66="Correctivo","Impacto",""))</f>
        <v/>
      </c>
      <c r="S66" s="115"/>
      <c r="T66" s="115"/>
      <c r="U66" s="149" t="str">
        <f t="shared" ref="U66:U70" si="54">IF(AND(S66="Preventivo",T66="Automático"),"50%",IF(AND(S66="Preventivo",T66="Manual"),"40%",IF(AND(S66="Detectivo",T66="Automático"),"40%",IF(AND(S66="Detectivo",T66="Manual"),"30%",IF(AND(S66="Correctivo",T66="Automático"),"35%",IF(AND(S66="Correctivo",T66="Manual"),"25%",""))))))</f>
        <v/>
      </c>
      <c r="V66" s="115"/>
      <c r="W66" s="115"/>
      <c r="X66" s="115"/>
      <c r="Y66" s="150" t="str">
        <f>IFERROR(IF(AND(R65="Probabilidad",R66="Probabilidad"),(AA65-(+AA65*U66)),IF(R66="Probabilidad",(J65-(+J65*U66)),IF(R66="Impacto",AA65,""))),"")</f>
        <v/>
      </c>
      <c r="Z66" s="152" t="str">
        <f t="shared" si="46"/>
        <v/>
      </c>
      <c r="AA66" s="151" t="str">
        <f t="shared" ref="AA66:AA70" si="55">+Y66</f>
        <v/>
      </c>
      <c r="AB66" s="152" t="str">
        <f t="shared" si="48"/>
        <v/>
      </c>
      <c r="AC66" s="151" t="str">
        <f>IFERROR(IF(AND(R65="Impacto",R66="Impacto"),(AC65-(+AC65*U66)),IF(R66="Impacto",(N65-(+N65*U66)),IF(R66="Probabilidad",AC65,""))),"")</f>
        <v/>
      </c>
      <c r="AD66" s="153" t="str">
        <f t="shared" ref="AD66:AD67" si="56">IFERROR(IF(OR(AND(Z66="Muy Baja",AB66="Leve"),AND(Z66="Muy Baja",AB66="Menor"),AND(Z66="Baja",AB66="Leve")),"Bajo",IF(OR(AND(Z66="Muy baja",AB66="Moderado"),AND(Z66="Baja",AB66="Menor"),AND(Z66="Baja",AB66="Moderado"),AND(Z66="Media",AB66="Leve"),AND(Z66="Media",AB66="Menor"),AND(Z66="Media",AB66="Moderado"),AND(Z66="Alta",AB66="Leve"),AND(Z66="Alta",AB66="Menor")),"Moderado",IF(OR(AND(Z66="Muy Baja",AB66="Mayor"),AND(Z66="Baja",AB66="Mayor"),AND(Z66="Media",AB66="Mayor"),AND(Z66="Alta",AB66="Moderado"),AND(Z66="Alta",AB66="Mayor"),AND(Z66="Muy Alta",AB66="Leve"),AND(Z66="Muy Alta",AB66="Menor"),AND(Z66="Muy Alta",AB66="Moderado"),AND(Z66="Muy Alta",AB66="Mayor")),"Alto",IF(OR(AND(Z66="Muy Baja",AB66="Catastrófico"),AND(Z66="Baja",AB66="Catastrófico"),AND(Z66="Media",AB66="Catastrófico"),AND(Z66="Alta",AB66="Catastrófico"),AND(Z66="Muy Alta",AB66="Catastrófico")),"Extremo","")))),"")</f>
        <v/>
      </c>
      <c r="AE66" s="154"/>
      <c r="AF66" s="113"/>
      <c r="AG66" s="156"/>
      <c r="AH66" s="157"/>
      <c r="AI66" s="157"/>
      <c r="AJ66" s="157"/>
      <c r="AK66" s="113"/>
      <c r="AL66" s="156"/>
    </row>
    <row r="67" spans="1:70" ht="18" hidden="1" customHeight="1" x14ac:dyDescent="0.25">
      <c r="A67" s="261"/>
      <c r="B67" s="146"/>
      <c r="C67" s="273"/>
      <c r="D67" s="273"/>
      <c r="E67" s="273"/>
      <c r="F67" s="276"/>
      <c r="G67" s="273"/>
      <c r="H67" s="300"/>
      <c r="I67" s="217"/>
      <c r="J67" s="214"/>
      <c r="K67" s="211"/>
      <c r="L67" s="214">
        <f ca="1">IF(NOT(ISERROR(MATCH(K67,_xlfn.ANCHORARRAY(F90),0))),J92&amp;"Por favor no seleccionar los criterios de impacto",K67)</f>
        <v>0</v>
      </c>
      <c r="M67" s="217"/>
      <c r="N67" s="214"/>
      <c r="O67" s="220"/>
      <c r="P67" s="155">
        <v>3</v>
      </c>
      <c r="Q67" s="147"/>
      <c r="R67" s="148" t="str">
        <f>IF(OR(S67="Preventivo",S67="Detectivo"),"Probabilidad",IF(S67="Correctivo","Impacto",""))</f>
        <v/>
      </c>
      <c r="S67" s="115"/>
      <c r="T67" s="115"/>
      <c r="U67" s="149" t="str">
        <f t="shared" si="54"/>
        <v/>
      </c>
      <c r="V67" s="115"/>
      <c r="W67" s="115"/>
      <c r="X67" s="115"/>
      <c r="Y67" s="150" t="str">
        <f>IFERROR(IF(AND(R66="Probabilidad",R67="Probabilidad"),(AA66-(+AA66*U67)),IF(AND(R66="Impacto",R67="Probabilidad"),(AA65-(+AA65*U67)),IF(R67="Impacto",AA66,""))),"")</f>
        <v/>
      </c>
      <c r="Z67" s="152" t="str">
        <f t="shared" si="46"/>
        <v/>
      </c>
      <c r="AA67" s="151" t="str">
        <f t="shared" si="55"/>
        <v/>
      </c>
      <c r="AB67" s="152" t="str">
        <f t="shared" si="48"/>
        <v/>
      </c>
      <c r="AC67" s="151" t="str">
        <f>IFERROR(IF(AND(R66="Impacto",R67="Impacto"),(AC66-(+AC66*U67)),IF(AND(R66="Probabilidad",R67="Impacto"),(AC65-(+AC65*U67)),IF(R67="Probabilidad",AC66,""))),"")</f>
        <v/>
      </c>
      <c r="AD67" s="153" t="str">
        <f t="shared" si="56"/>
        <v/>
      </c>
      <c r="AE67" s="154"/>
      <c r="AF67" s="113"/>
      <c r="AG67" s="156"/>
      <c r="AH67" s="157"/>
      <c r="AI67" s="157"/>
      <c r="AJ67" s="157"/>
      <c r="AK67" s="113"/>
      <c r="AL67" s="156"/>
    </row>
    <row r="68" spans="1:70" ht="18" hidden="1" customHeight="1" x14ac:dyDescent="0.25">
      <c r="A68" s="261"/>
      <c r="B68" s="146"/>
      <c r="C68" s="273"/>
      <c r="D68" s="273"/>
      <c r="E68" s="273"/>
      <c r="F68" s="276"/>
      <c r="G68" s="273"/>
      <c r="H68" s="300"/>
      <c r="I68" s="217"/>
      <c r="J68" s="214"/>
      <c r="K68" s="211"/>
      <c r="L68" s="214">
        <f ca="1">IF(NOT(ISERROR(MATCH(K68,_xlfn.ANCHORARRAY(F91),0))),J93&amp;"Por favor no seleccionar los criterios de impacto",K68)</f>
        <v>0</v>
      </c>
      <c r="M68" s="217"/>
      <c r="N68" s="214"/>
      <c r="O68" s="220"/>
      <c r="P68" s="155">
        <v>4</v>
      </c>
      <c r="Q68" s="158"/>
      <c r="R68" s="148" t="str">
        <f t="shared" ref="R68:R70" si="57">IF(OR(S68="Preventivo",S68="Detectivo"),"Probabilidad",IF(S68="Correctivo","Impacto",""))</f>
        <v/>
      </c>
      <c r="S68" s="115"/>
      <c r="T68" s="115"/>
      <c r="U68" s="149" t="str">
        <f t="shared" si="54"/>
        <v/>
      </c>
      <c r="V68" s="115"/>
      <c r="W68" s="115"/>
      <c r="X68" s="115"/>
      <c r="Y68" s="150" t="str">
        <f t="shared" ref="Y68:Y69" si="58">IFERROR(IF(AND(R67="Probabilidad",R68="Probabilidad"),(AA67-(+AA67*U68)),IF(AND(R67="Impacto",R68="Probabilidad"),(AA66-(+AA66*U68)),IF(R68="Impacto",AA67,""))),"")</f>
        <v/>
      </c>
      <c r="Z68" s="152" t="str">
        <f t="shared" si="46"/>
        <v/>
      </c>
      <c r="AA68" s="151" t="str">
        <f t="shared" si="55"/>
        <v/>
      </c>
      <c r="AB68" s="152" t="str">
        <f t="shared" si="48"/>
        <v/>
      </c>
      <c r="AC68" s="151" t="str">
        <f t="shared" ref="AC68:AC69" si="59">IFERROR(IF(AND(R67="Impacto",R68="Impacto"),(AC67-(+AC67*U68)),IF(AND(R67="Probabilidad",R68="Impacto"),(AC66-(+AC66*U68)),IF(R68="Probabilidad",AC67,""))),"")</f>
        <v/>
      </c>
      <c r="AD68" s="153" t="str">
        <f>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54"/>
      <c r="AF68" s="113"/>
      <c r="AG68" s="156"/>
      <c r="AH68" s="157"/>
      <c r="AI68" s="157"/>
      <c r="AJ68" s="157"/>
      <c r="AK68" s="113"/>
      <c r="AL68" s="156"/>
    </row>
    <row r="69" spans="1:70" ht="18" hidden="1" customHeight="1" x14ac:dyDescent="0.25">
      <c r="A69" s="261"/>
      <c r="B69" s="146"/>
      <c r="C69" s="273"/>
      <c r="D69" s="273"/>
      <c r="E69" s="273"/>
      <c r="F69" s="276"/>
      <c r="G69" s="273"/>
      <c r="H69" s="300"/>
      <c r="I69" s="217"/>
      <c r="J69" s="214"/>
      <c r="K69" s="211"/>
      <c r="L69" s="214">
        <f ca="1">IF(NOT(ISERROR(MATCH(K69,_xlfn.ANCHORARRAY(F92),0))),J94&amp;"Por favor no seleccionar los criterios de impacto",K69)</f>
        <v>0</v>
      </c>
      <c r="M69" s="217"/>
      <c r="N69" s="214"/>
      <c r="O69" s="220"/>
      <c r="P69" s="155">
        <v>5</v>
      </c>
      <c r="Q69" s="158"/>
      <c r="R69" s="148" t="str">
        <f t="shared" si="57"/>
        <v/>
      </c>
      <c r="S69" s="115"/>
      <c r="T69" s="115"/>
      <c r="U69" s="149" t="str">
        <f t="shared" si="54"/>
        <v/>
      </c>
      <c r="V69" s="115"/>
      <c r="W69" s="115"/>
      <c r="X69" s="115"/>
      <c r="Y69" s="150" t="str">
        <f t="shared" si="58"/>
        <v/>
      </c>
      <c r="Z69" s="152" t="str">
        <f t="shared" si="46"/>
        <v/>
      </c>
      <c r="AA69" s="151" t="str">
        <f t="shared" si="55"/>
        <v/>
      </c>
      <c r="AB69" s="152" t="str">
        <f t="shared" si="48"/>
        <v/>
      </c>
      <c r="AC69" s="151" t="str">
        <f t="shared" si="59"/>
        <v/>
      </c>
      <c r="AD69" s="153" t="str">
        <f t="shared" ref="AD69:AD70" si="60">IFERROR(IF(OR(AND(Z69="Muy Baja",AB69="Leve"),AND(Z69="Muy Baja",AB69="Menor"),AND(Z69="Baja",AB69="Leve")),"Bajo",IF(OR(AND(Z69="Muy baja",AB69="Moderado"),AND(Z69="Baja",AB69="Menor"),AND(Z69="Baja",AB69="Moderado"),AND(Z69="Media",AB69="Leve"),AND(Z69="Media",AB69="Menor"),AND(Z69="Media",AB69="Moderado"),AND(Z69="Alta",AB69="Leve"),AND(Z69="Alta",AB69="Menor")),"Moderado",IF(OR(AND(Z69="Muy Baja",AB69="Mayor"),AND(Z69="Baja",AB69="Mayor"),AND(Z69="Media",AB69="Mayor"),AND(Z69="Alta",AB69="Moderado"),AND(Z69="Alta",AB69="Mayor"),AND(Z69="Muy Alta",AB69="Leve"),AND(Z69="Muy Alta",AB69="Menor"),AND(Z69="Muy Alta",AB69="Moderado"),AND(Z69="Muy Alta",AB69="Mayor")),"Alto",IF(OR(AND(Z69="Muy Baja",AB69="Catastrófico"),AND(Z69="Baja",AB69="Catastrófico"),AND(Z69="Media",AB69="Catastrófico"),AND(Z69="Alta",AB69="Catastrófico"),AND(Z69="Muy Alta",AB69="Catastrófico")),"Extremo","")))),"")</f>
        <v/>
      </c>
      <c r="AE69" s="154"/>
      <c r="AF69" s="113"/>
      <c r="AG69" s="156"/>
      <c r="AH69" s="157"/>
      <c r="AI69" s="157"/>
      <c r="AJ69" s="157"/>
      <c r="AK69" s="113"/>
      <c r="AL69" s="156"/>
    </row>
    <row r="70" spans="1:70" ht="18" hidden="1" customHeight="1" x14ac:dyDescent="0.25">
      <c r="A70" s="262"/>
      <c r="B70" s="159"/>
      <c r="C70" s="274"/>
      <c r="D70" s="274"/>
      <c r="E70" s="274"/>
      <c r="F70" s="277"/>
      <c r="G70" s="274"/>
      <c r="H70" s="301"/>
      <c r="I70" s="218"/>
      <c r="J70" s="215"/>
      <c r="K70" s="212"/>
      <c r="L70" s="215">
        <f ca="1">IF(NOT(ISERROR(MATCH(K70,_xlfn.ANCHORARRAY(F93),0))),J95&amp;"Por favor no seleccionar los criterios de impacto",K70)</f>
        <v>0</v>
      </c>
      <c r="M70" s="218"/>
      <c r="N70" s="215"/>
      <c r="O70" s="221"/>
      <c r="P70" s="155">
        <v>6</v>
      </c>
      <c r="Q70" s="158"/>
      <c r="R70" s="148" t="str">
        <f t="shared" si="57"/>
        <v/>
      </c>
      <c r="S70" s="115"/>
      <c r="T70" s="115"/>
      <c r="U70" s="149" t="str">
        <f t="shared" si="54"/>
        <v/>
      </c>
      <c r="V70" s="115"/>
      <c r="W70" s="115"/>
      <c r="X70" s="115"/>
      <c r="Y70" s="150" t="str">
        <f>IFERROR(IF(AND(R69="Probabilidad",R70="Probabilidad"),(AA69-(+AA69*U70)),IF(AND(R69="Impacto",R70="Probabilidad"),(AA68-(+AA68*U70)),IF(R70="Impacto",AA69,""))),"")</f>
        <v/>
      </c>
      <c r="Z70" s="152" t="str">
        <f t="shared" si="46"/>
        <v/>
      </c>
      <c r="AA70" s="151" t="str">
        <f t="shared" si="55"/>
        <v/>
      </c>
      <c r="AB70" s="152" t="str">
        <f t="shared" si="48"/>
        <v/>
      </c>
      <c r="AC70" s="151" t="str">
        <f>IFERROR(IF(AND(R69="Impacto",R70="Impacto"),(AC69-(+AC69*U70)),IF(AND(R69="Probabilidad",R70="Impacto"),(AC68-(+AC68*U70)),IF(R70="Probabilidad",AC69,""))),"")</f>
        <v/>
      </c>
      <c r="AD70" s="153" t="str">
        <f t="shared" si="60"/>
        <v/>
      </c>
      <c r="AE70" s="154"/>
      <c r="AF70" s="113"/>
      <c r="AG70" s="156"/>
      <c r="AH70" s="157"/>
      <c r="AI70" s="157"/>
      <c r="AJ70" s="157"/>
      <c r="AK70" s="113"/>
      <c r="AL70" s="156"/>
    </row>
    <row r="71" spans="1:70" ht="48.75" hidden="1" customHeight="1" x14ac:dyDescent="0.25">
      <c r="A71" s="260"/>
      <c r="B71" s="140"/>
      <c r="C71" s="254"/>
      <c r="D71" s="254"/>
      <c r="E71" s="254"/>
      <c r="F71" s="257"/>
      <c r="G71" s="254"/>
      <c r="H71" s="251"/>
      <c r="I71" s="242" t="str">
        <f>IF(H71&lt;=0,"",IF(H71&lt;=2,"Muy Baja",IF(H71&lt;=24,"Baja",IF(H71&lt;=500,"Media",IF(H71&lt;=5000,"Alta","Muy Alta")))))</f>
        <v/>
      </c>
      <c r="J71" s="233" t="str">
        <f>IF(I71="","",IF(I71="Muy Baja",0.2,IF(I71="Baja",0.4,IF(I71="Media",0.6,IF(I71="Alta",0.8,IF(I71="Muy Alta",1,))))))</f>
        <v/>
      </c>
      <c r="K71" s="239"/>
      <c r="L71" s="233">
        <f>IF(NOT(ISERROR(MATCH(K71,'Tabla Impacto'!$B$225:$B$227,0))),'Tabla Impacto'!$G$227&amp;"Por favor no seleccionar los criterios de impacto(Afectación Económica o presupuestal y Pérdida Reputacional)",K71)</f>
        <v>0</v>
      </c>
      <c r="M71" s="242" t="str">
        <f>IF(OR(L71='Tabla Impacto'!$C$15,L71='Tabla Impacto'!$E$15),"Leve",IF(OR(L71='Tabla Impacto'!$C$16,L71='Tabla Impacto'!$E$16),"Menor",IF(OR(L71='Tabla Impacto'!$C$17,L71='Tabla Impacto'!$E$17),"Moderado",IF(OR(L71='Tabla Impacto'!$C$18,L71='Tabla Impacto'!$E$18),"Mayor",IF(OR(L71='Tabla Impacto'!$C$19,L71='Tabla Impacto'!$E$19),"Catastrófico","")))))</f>
        <v/>
      </c>
      <c r="N71" s="233" t="str">
        <f>IF(M71="","",IF(M71="Leve",0.2,IF(M71="Menor",0.4,IF(M71="Moderado",0.6,IF(M71="Mayor",0.8,IF(M71="Catastrófico",1,))))))</f>
        <v/>
      </c>
      <c r="O71" s="236" t="str">
        <f>IF(OR(AND(I71="Muy Baja",M71="Leve"),AND(I71="Muy Baja",M71="Menor"),AND(I71="Baja",M71="Leve")),"Bajo",IF(OR(AND(I71="Muy baja",M71="Moderado"),AND(I71="Baja",M71="Menor"),AND(I71="Baja",M71="Moderado"),AND(I71="Media",M71="Leve"),AND(I71="Media",M71="Menor"),AND(I71="Media",M71="Moderado"),AND(I71="Alta",M71="Leve"),AND(I71="Alta",M71="Menor")),"Moderado",IF(OR(AND(I71="Muy Baja",M71="Mayor"),AND(I71="Baja",M71="Mayor"),AND(I71="Media",M71="Mayor"),AND(I71="Alta",M71="Moderado"),AND(I71="Alta",M71="Mayor"),AND(I71="Muy Alta",M71="Leve"),AND(I71="Muy Alta",M71="Menor"),AND(I71="Muy Alta",M71="Moderado"),AND(I71="Muy Alta",M71="Mayor")),"Alto",IF(OR(AND(I71="Muy Baja",M71="Catastrófico"),AND(I71="Baja",M71="Catastrófico"),AND(I71="Media",M71="Catastrófico"),AND(I71="Alta",M71="Catastrófico"),AND(I71="Muy Alta",M71="Catastrófico")),"Extremo",""))))</f>
        <v/>
      </c>
      <c r="P71" s="141">
        <v>1</v>
      </c>
      <c r="Q71" s="158"/>
      <c r="R71" s="161"/>
      <c r="S71" s="162"/>
      <c r="T71" s="162"/>
      <c r="U71" s="163"/>
      <c r="V71" s="162"/>
      <c r="W71" s="162"/>
      <c r="X71" s="162"/>
      <c r="Y71" s="144"/>
      <c r="Z71" s="164"/>
      <c r="AA71" s="122"/>
      <c r="AB71" s="164"/>
      <c r="AC71" s="122"/>
      <c r="AD71" s="165"/>
      <c r="AE71" s="119"/>
      <c r="AF71" s="113"/>
      <c r="AG71" s="145"/>
      <c r="AH71" s="112"/>
      <c r="AI71" s="112"/>
      <c r="AJ71" s="157"/>
      <c r="AK71" s="113"/>
      <c r="AL71" s="156"/>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row>
    <row r="72" spans="1:70" ht="18" hidden="1" customHeight="1" x14ac:dyDescent="0.25">
      <c r="A72" s="261"/>
      <c r="B72" s="146"/>
      <c r="C72" s="255"/>
      <c r="D72" s="255"/>
      <c r="E72" s="255"/>
      <c r="F72" s="258"/>
      <c r="G72" s="255"/>
      <c r="H72" s="252"/>
      <c r="I72" s="243"/>
      <c r="J72" s="234"/>
      <c r="K72" s="240"/>
      <c r="L72" s="234">
        <f ca="1">IF(NOT(ISERROR(MATCH(K72,_xlfn.ANCHORARRAY(F95),0))),J97&amp;"Por favor no seleccionar los criterios de impacto",K72)</f>
        <v>0</v>
      </c>
      <c r="M72" s="243"/>
      <c r="N72" s="234"/>
      <c r="O72" s="237"/>
      <c r="P72" s="155">
        <v>2</v>
      </c>
      <c r="Q72" s="158"/>
      <c r="R72" s="148" t="str">
        <f>IF(OR(S72="Preventivo",S72="Detectivo"),"Probabilidad",IF(S72="Correctivo","Impacto",""))</f>
        <v/>
      </c>
      <c r="S72" s="115"/>
      <c r="T72" s="115"/>
      <c r="U72" s="149" t="str">
        <f t="shared" ref="U72:U76" si="61">IF(AND(S72="Preventivo",T72="Automático"),"50%",IF(AND(S72="Preventivo",T72="Manual"),"40%",IF(AND(S72="Detectivo",T72="Automático"),"40%",IF(AND(S72="Detectivo",T72="Manual"),"30%",IF(AND(S72="Correctivo",T72="Automático"),"35%",IF(AND(S72="Correctivo",T72="Manual"),"25%",""))))))</f>
        <v/>
      </c>
      <c r="V72" s="115"/>
      <c r="W72" s="115"/>
      <c r="X72" s="115"/>
      <c r="Y72" s="150" t="str">
        <f>IFERROR(IF(AND(R71="Probabilidad",R72="Probabilidad"),(AA71-(+AA71*U72)),IF(R72="Probabilidad",(J71-(+J71*U72)),IF(R72="Impacto",AA71,""))),"")</f>
        <v/>
      </c>
      <c r="Z72" s="152" t="str">
        <f t="shared" ref="Z72:Z82" si="62">IFERROR(IF(Y72="","",IF(Y72&lt;=0.2,"Muy Baja",IF(Y72&lt;=0.4,"Baja",IF(Y72&lt;=0.6,"Media",IF(Y72&lt;=0.8,"Alta","Muy Alta"))))),"")</f>
        <v/>
      </c>
      <c r="AA72" s="151" t="str">
        <f t="shared" ref="AA72:AA76" si="63">+Y72</f>
        <v/>
      </c>
      <c r="AB72" s="152" t="str">
        <f t="shared" ref="AB72:AB82" si="64">IFERROR(IF(AC72="","",IF(AC72&lt;=0.2,"Leve",IF(AC72&lt;=0.4,"Menor",IF(AC72&lt;=0.6,"Moderado",IF(AC72&lt;=0.8,"Mayor","Catastrófico"))))),"")</f>
        <v/>
      </c>
      <c r="AC72" s="151" t="str">
        <f>IFERROR(IF(AND(R71="Impacto",R72="Impacto"),(AC71-(+AC71*U72)),IF(R72="Impacto",(N71-(+N71*U72)),IF(R72="Probabilidad",AC71,""))),"")</f>
        <v/>
      </c>
      <c r="AD72" s="153" t="str">
        <f t="shared" ref="AD72:AD73" si="65">IFERROR(IF(OR(AND(Z72="Muy Baja",AB72="Leve"),AND(Z72="Muy Baja",AB72="Menor"),AND(Z72="Baja",AB72="Leve")),"Bajo",IF(OR(AND(Z72="Muy baja",AB72="Moderado"),AND(Z72="Baja",AB72="Menor"),AND(Z72="Baja",AB72="Moderado"),AND(Z72="Media",AB72="Leve"),AND(Z72="Media",AB72="Menor"),AND(Z72="Media",AB72="Moderado"),AND(Z72="Alta",AB72="Leve"),AND(Z72="Alta",AB72="Menor")),"Moderado",IF(OR(AND(Z72="Muy Baja",AB72="Mayor"),AND(Z72="Baja",AB72="Mayor"),AND(Z72="Media",AB72="Mayor"),AND(Z72="Alta",AB72="Moderado"),AND(Z72="Alta",AB72="Mayor"),AND(Z72="Muy Alta",AB72="Leve"),AND(Z72="Muy Alta",AB72="Menor"),AND(Z72="Muy Alta",AB72="Moderado"),AND(Z72="Muy Alta",AB72="Mayor")),"Alto",IF(OR(AND(Z72="Muy Baja",AB72="Catastrófico"),AND(Z72="Baja",AB72="Catastrófico"),AND(Z72="Media",AB72="Catastrófico"),AND(Z72="Alta",AB72="Catastrófico"),AND(Z72="Muy Alta",AB72="Catastrófico")),"Extremo","")))),"")</f>
        <v/>
      </c>
      <c r="AE72" s="154"/>
      <c r="AF72" s="113"/>
      <c r="AG72" s="156"/>
      <c r="AH72" s="157"/>
      <c r="AI72" s="157"/>
      <c r="AJ72" s="157"/>
      <c r="AK72" s="113"/>
      <c r="AL72" s="156"/>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row>
    <row r="73" spans="1:70" ht="18" hidden="1" customHeight="1" x14ac:dyDescent="0.25">
      <c r="A73" s="261"/>
      <c r="B73" s="146"/>
      <c r="C73" s="255"/>
      <c r="D73" s="255"/>
      <c r="E73" s="255"/>
      <c r="F73" s="258"/>
      <c r="G73" s="255"/>
      <c r="H73" s="252"/>
      <c r="I73" s="243"/>
      <c r="J73" s="234"/>
      <c r="K73" s="240"/>
      <c r="L73" s="234">
        <f ca="1">IF(NOT(ISERROR(MATCH(K73,_xlfn.ANCHORARRAY(F96),0))),J98&amp;"Por favor no seleccionar los criterios de impacto",K73)</f>
        <v>0</v>
      </c>
      <c r="M73" s="243"/>
      <c r="N73" s="234"/>
      <c r="O73" s="237"/>
      <c r="P73" s="155">
        <v>3</v>
      </c>
      <c r="Q73" s="147"/>
      <c r="R73" s="148" t="str">
        <f>IF(OR(S73="Preventivo",S73="Detectivo"),"Probabilidad",IF(S73="Correctivo","Impacto",""))</f>
        <v/>
      </c>
      <c r="S73" s="115"/>
      <c r="T73" s="115"/>
      <c r="U73" s="149" t="str">
        <f t="shared" si="61"/>
        <v/>
      </c>
      <c r="V73" s="115"/>
      <c r="W73" s="115"/>
      <c r="X73" s="115"/>
      <c r="Y73" s="150" t="str">
        <f>IFERROR(IF(AND(R72="Probabilidad",R73="Probabilidad"),(AA72-(+AA72*U73)),IF(AND(R72="Impacto",R73="Probabilidad"),(AA71-(+AA71*U73)),IF(R73="Impacto",AA72,""))),"")</f>
        <v/>
      </c>
      <c r="Z73" s="152" t="str">
        <f t="shared" si="62"/>
        <v/>
      </c>
      <c r="AA73" s="151" t="str">
        <f t="shared" si="63"/>
        <v/>
      </c>
      <c r="AB73" s="152" t="str">
        <f t="shared" si="64"/>
        <v/>
      </c>
      <c r="AC73" s="151" t="str">
        <f>IFERROR(IF(AND(R72="Impacto",R73="Impacto"),(AC72-(+AC72*U73)),IF(AND(R72="Probabilidad",R73="Impacto"),(AC71-(+AC71*U73)),IF(R73="Probabilidad",AC72,""))),"")</f>
        <v/>
      </c>
      <c r="AD73" s="153" t="str">
        <f t="shared" si="65"/>
        <v/>
      </c>
      <c r="AE73" s="154"/>
      <c r="AF73" s="113"/>
      <c r="AG73" s="156"/>
      <c r="AH73" s="157"/>
      <c r="AI73" s="157"/>
      <c r="AJ73" s="157"/>
      <c r="AK73" s="113"/>
      <c r="AL73" s="156"/>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row>
    <row r="74" spans="1:70" ht="18" hidden="1" customHeight="1" x14ac:dyDescent="0.25">
      <c r="A74" s="261"/>
      <c r="B74" s="146"/>
      <c r="C74" s="255"/>
      <c r="D74" s="255"/>
      <c r="E74" s="255"/>
      <c r="F74" s="258"/>
      <c r="G74" s="255"/>
      <c r="H74" s="252"/>
      <c r="I74" s="243"/>
      <c r="J74" s="234"/>
      <c r="K74" s="240"/>
      <c r="L74" s="234">
        <f ca="1">IF(NOT(ISERROR(MATCH(K74,_xlfn.ANCHORARRAY(F97),0))),J99&amp;"Por favor no seleccionar los criterios de impacto",K74)</f>
        <v>0</v>
      </c>
      <c r="M74" s="243"/>
      <c r="N74" s="234"/>
      <c r="O74" s="237"/>
      <c r="P74" s="155">
        <v>4</v>
      </c>
      <c r="Q74" s="158"/>
      <c r="R74" s="148" t="str">
        <f t="shared" ref="R74:R76" si="66">IF(OR(S74="Preventivo",S74="Detectivo"),"Probabilidad",IF(S74="Correctivo","Impacto",""))</f>
        <v/>
      </c>
      <c r="S74" s="115"/>
      <c r="T74" s="115"/>
      <c r="U74" s="149" t="str">
        <f t="shared" si="61"/>
        <v/>
      </c>
      <c r="V74" s="115"/>
      <c r="W74" s="115"/>
      <c r="X74" s="115"/>
      <c r="Y74" s="150" t="str">
        <f t="shared" ref="Y74:Y75" si="67">IFERROR(IF(AND(R73="Probabilidad",R74="Probabilidad"),(AA73-(+AA73*U74)),IF(AND(R73="Impacto",R74="Probabilidad"),(AA72-(+AA72*U74)),IF(R74="Impacto",AA73,""))),"")</f>
        <v/>
      </c>
      <c r="Z74" s="152" t="str">
        <f t="shared" si="62"/>
        <v/>
      </c>
      <c r="AA74" s="151" t="str">
        <f t="shared" si="63"/>
        <v/>
      </c>
      <c r="AB74" s="152" t="str">
        <f t="shared" si="64"/>
        <v/>
      </c>
      <c r="AC74" s="151" t="str">
        <f t="shared" ref="AC74:AC75" si="68">IFERROR(IF(AND(R73="Impacto",R74="Impacto"),(AC73-(+AC73*U74)),IF(AND(R73="Probabilidad",R74="Impacto"),(AC72-(+AC72*U74)),IF(R74="Probabilidad",AC73,""))),"")</f>
        <v/>
      </c>
      <c r="AD74" s="153" t="str">
        <f>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54"/>
      <c r="AF74" s="113"/>
      <c r="AG74" s="156"/>
      <c r="AH74" s="157"/>
      <c r="AI74" s="157"/>
      <c r="AJ74" s="157"/>
      <c r="AK74" s="113"/>
      <c r="AL74" s="156"/>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row>
    <row r="75" spans="1:70" ht="18" hidden="1" customHeight="1" x14ac:dyDescent="0.25">
      <c r="A75" s="261"/>
      <c r="B75" s="146"/>
      <c r="C75" s="255"/>
      <c r="D75" s="255"/>
      <c r="E75" s="255"/>
      <c r="F75" s="258"/>
      <c r="G75" s="255"/>
      <c r="H75" s="252"/>
      <c r="I75" s="243"/>
      <c r="J75" s="234"/>
      <c r="K75" s="240"/>
      <c r="L75" s="234">
        <f ca="1">IF(NOT(ISERROR(MATCH(K75,_xlfn.ANCHORARRAY(F98),0))),J100&amp;"Por favor no seleccionar los criterios de impacto",K75)</f>
        <v>0</v>
      </c>
      <c r="M75" s="243"/>
      <c r="N75" s="234"/>
      <c r="O75" s="237"/>
      <c r="P75" s="155">
        <v>5</v>
      </c>
      <c r="Q75" s="158"/>
      <c r="R75" s="148" t="str">
        <f t="shared" si="66"/>
        <v/>
      </c>
      <c r="S75" s="115"/>
      <c r="T75" s="115"/>
      <c r="U75" s="149" t="str">
        <f t="shared" si="61"/>
        <v/>
      </c>
      <c r="V75" s="115"/>
      <c r="W75" s="115"/>
      <c r="X75" s="115"/>
      <c r="Y75" s="150" t="str">
        <f t="shared" si="67"/>
        <v/>
      </c>
      <c r="Z75" s="152" t="str">
        <f t="shared" si="62"/>
        <v/>
      </c>
      <c r="AA75" s="151" t="str">
        <f t="shared" si="63"/>
        <v/>
      </c>
      <c r="AB75" s="152" t="str">
        <f t="shared" si="64"/>
        <v/>
      </c>
      <c r="AC75" s="151" t="str">
        <f t="shared" si="68"/>
        <v/>
      </c>
      <c r="AD75" s="153" t="str">
        <f t="shared" ref="AD75:AD76" si="69">IFERROR(IF(OR(AND(Z75="Muy Baja",AB75="Leve"),AND(Z75="Muy Baja",AB75="Menor"),AND(Z75="Baja",AB75="Leve")),"Bajo",IF(OR(AND(Z75="Muy baja",AB75="Moderado"),AND(Z75="Baja",AB75="Menor"),AND(Z75="Baja",AB75="Moderado"),AND(Z75="Media",AB75="Leve"),AND(Z75="Media",AB75="Menor"),AND(Z75="Media",AB75="Moderado"),AND(Z75="Alta",AB75="Leve"),AND(Z75="Alta",AB75="Menor")),"Moderado",IF(OR(AND(Z75="Muy Baja",AB75="Mayor"),AND(Z75="Baja",AB75="Mayor"),AND(Z75="Media",AB75="Mayor"),AND(Z75="Alta",AB75="Moderado"),AND(Z75="Alta",AB75="Mayor"),AND(Z75="Muy Alta",AB75="Leve"),AND(Z75="Muy Alta",AB75="Menor"),AND(Z75="Muy Alta",AB75="Moderado"),AND(Z75="Muy Alta",AB75="Mayor")),"Alto",IF(OR(AND(Z75="Muy Baja",AB75="Catastrófico"),AND(Z75="Baja",AB75="Catastrófico"),AND(Z75="Media",AB75="Catastrófico"),AND(Z75="Alta",AB75="Catastrófico"),AND(Z75="Muy Alta",AB75="Catastrófico")),"Extremo","")))),"")</f>
        <v/>
      </c>
      <c r="AE75" s="154"/>
      <c r="AF75" s="113"/>
      <c r="AG75" s="156"/>
      <c r="AH75" s="157"/>
      <c r="AI75" s="157"/>
      <c r="AJ75" s="157"/>
      <c r="AK75" s="113"/>
      <c r="AL75" s="156"/>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row>
    <row r="76" spans="1:70" ht="18" hidden="1" customHeight="1" x14ac:dyDescent="0.25">
      <c r="A76" s="262"/>
      <c r="B76" s="159"/>
      <c r="C76" s="256"/>
      <c r="D76" s="256"/>
      <c r="E76" s="256"/>
      <c r="F76" s="259"/>
      <c r="G76" s="256"/>
      <c r="H76" s="253"/>
      <c r="I76" s="244"/>
      <c r="J76" s="235"/>
      <c r="K76" s="241"/>
      <c r="L76" s="235">
        <f ca="1">IF(NOT(ISERROR(MATCH(K76,_xlfn.ANCHORARRAY(F99),0))),J101&amp;"Por favor no seleccionar los criterios de impacto",K76)</f>
        <v>0</v>
      </c>
      <c r="M76" s="244"/>
      <c r="N76" s="235"/>
      <c r="O76" s="238"/>
      <c r="P76" s="155">
        <v>6</v>
      </c>
      <c r="Q76" s="158"/>
      <c r="R76" s="148" t="str">
        <f t="shared" si="66"/>
        <v/>
      </c>
      <c r="S76" s="115"/>
      <c r="T76" s="115"/>
      <c r="U76" s="149" t="str">
        <f t="shared" si="61"/>
        <v/>
      </c>
      <c r="V76" s="115"/>
      <c r="W76" s="115"/>
      <c r="X76" s="115"/>
      <c r="Y76" s="150" t="str">
        <f>IFERROR(IF(AND(R75="Probabilidad",R76="Probabilidad"),(AA75-(+AA75*U76)),IF(AND(R75="Impacto",R76="Probabilidad"),(AA74-(+AA74*U76)),IF(R76="Impacto",AA75,""))),"")</f>
        <v/>
      </c>
      <c r="Z76" s="152" t="str">
        <f t="shared" si="62"/>
        <v/>
      </c>
      <c r="AA76" s="151" t="str">
        <f t="shared" si="63"/>
        <v/>
      </c>
      <c r="AB76" s="152" t="str">
        <f t="shared" si="64"/>
        <v/>
      </c>
      <c r="AC76" s="151" t="str">
        <f>IFERROR(IF(AND(R75="Impacto",R76="Impacto"),(AC75-(+AC75*U76)),IF(AND(R75="Probabilidad",R76="Impacto"),(AC74-(+AC74*U76)),IF(R76="Probabilidad",AC75,""))),"")</f>
        <v/>
      </c>
      <c r="AD76" s="153" t="str">
        <f t="shared" si="69"/>
        <v/>
      </c>
      <c r="AE76" s="154"/>
      <c r="AF76" s="113"/>
      <c r="AG76" s="156"/>
      <c r="AH76" s="157"/>
      <c r="AI76" s="157"/>
      <c r="AJ76" s="157"/>
      <c r="AK76" s="113"/>
      <c r="AL76" s="156"/>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row>
    <row r="77" spans="1:70" ht="18" hidden="1" customHeight="1" x14ac:dyDescent="0.25">
      <c r="A77" s="260"/>
      <c r="B77" s="140"/>
      <c r="C77" s="272"/>
      <c r="D77" s="272"/>
      <c r="E77" s="272"/>
      <c r="F77" s="275"/>
      <c r="G77" s="272"/>
      <c r="H77" s="299"/>
      <c r="I77" s="216" t="str">
        <f>IF(H77&lt;=0,"",IF(H77&lt;=2,"Muy Baja",IF(H77&lt;=24,"Baja",IF(H77&lt;=500,"Media",IF(H77&lt;=5000,"Alta","Muy Alta")))))</f>
        <v/>
      </c>
      <c r="J77" s="213" t="str">
        <f>IF(I77="","",IF(I77="Muy Baja",0.2,IF(I77="Baja",0.4,IF(I77="Media",0.6,IF(I77="Alta",0.8,IF(I77="Muy Alta",1,))))))</f>
        <v/>
      </c>
      <c r="K77" s="210"/>
      <c r="L77" s="213">
        <f>IF(NOT(ISERROR(MATCH(K77,'Tabla Impacto'!$B$225:$B$227,0))),'Tabla Impacto'!$G$227&amp;"Por favor no seleccionar los criterios de impacto(Afectación Económica o presupuestal y Pérdida Reputacional)",K77)</f>
        <v>0</v>
      </c>
      <c r="M77" s="216" t="str">
        <f>IF(OR(L77='Tabla Impacto'!$C$15,L77='Tabla Impacto'!$E$15),"Leve",IF(OR(L77='Tabla Impacto'!$C$16,L77='Tabla Impacto'!$E$16),"Menor",IF(OR(L77='Tabla Impacto'!$C$17,L77='Tabla Impacto'!$E$17),"Moderado",IF(OR(L77='Tabla Impacto'!$C$18,L77='Tabla Impacto'!$E$18),"Mayor",IF(OR(L77='Tabla Impacto'!$C$19,L77='Tabla Impacto'!$E$19),"Catastrófico","")))))</f>
        <v/>
      </c>
      <c r="N77" s="213" t="str">
        <f>IF(M77="","",IF(M77="Leve",0.2,IF(M77="Menor",0.4,IF(M77="Moderado",0.6,IF(M77="Mayor",0.8,IF(M77="Catastrófico",1,))))))</f>
        <v/>
      </c>
      <c r="O77" s="219" t="str">
        <f>IF(OR(AND(I77="Muy Baja",M77="Leve"),AND(I77="Muy Baja",M77="Menor"),AND(I77="Baja",M77="Leve")),"Bajo",IF(OR(AND(I77="Muy baja",M77="Moderado"),AND(I77="Baja",M77="Menor"),AND(I77="Baja",M77="Moderado"),AND(I77="Media",M77="Leve"),AND(I77="Media",M77="Menor"),AND(I77="Media",M77="Moderado"),AND(I77="Alta",M77="Leve"),AND(I77="Alta",M77="Menor")),"Moderado",IF(OR(AND(I77="Muy Baja",M77="Mayor"),AND(I77="Baja",M77="Mayor"),AND(I77="Media",M77="Mayor"),AND(I77="Alta",M77="Moderado"),AND(I77="Alta",M77="Mayor"),AND(I77="Muy Alta",M77="Leve"),AND(I77="Muy Alta",M77="Menor"),AND(I77="Muy Alta",M77="Moderado"),AND(I77="Muy Alta",M77="Mayor")),"Alto",IF(OR(AND(I77="Muy Baja",M77="Catastrófico"),AND(I77="Baja",M77="Catastrófico"),AND(I77="Media",M77="Catastrófico"),AND(I77="Alta",M77="Catastrófico"),AND(I77="Muy Alta",M77="Catastrófico")),"Extremo",""))))</f>
        <v/>
      </c>
      <c r="P77" s="155">
        <v>1</v>
      </c>
      <c r="Q77" s="158"/>
      <c r="R77" s="161"/>
      <c r="S77" s="162"/>
      <c r="T77" s="162"/>
      <c r="U77" s="163" t="str">
        <f>IF(AND(S77="Preventivo",T77="Automático"),"50%",IF(AND(S77="Preventivo",T77="Manual"),"40%",IF(AND(S77="Detectivo",T77="Automático"),"40%",IF(AND(S77="Detectivo",T77="Manual"),"30%",IF(AND(S77="Correctivo",T77="Automático"),"35%",IF(AND(S77="Correctivo",T77="Manual"),"25%",""))))))</f>
        <v/>
      </c>
      <c r="V77" s="162"/>
      <c r="W77" s="162"/>
      <c r="X77" s="162"/>
      <c r="Y77" s="144" t="str">
        <f>IFERROR(IF(R77="Probabilidad",(J77-(+J77*U77)),IF(R77="Impacto",J77,"")),"")</f>
        <v/>
      </c>
      <c r="Z77" s="164" t="str">
        <f t="shared" si="62"/>
        <v/>
      </c>
      <c r="AA77" s="122" t="str">
        <f>+Y77</f>
        <v/>
      </c>
      <c r="AB77" s="164" t="str">
        <f t="shared" si="64"/>
        <v/>
      </c>
      <c r="AC77" s="122" t="str">
        <f>IFERROR(IF(R77="Impacto",(N77-(+N77*U77)),IF(R77="Probabilidad",N77,"")),"")</f>
        <v/>
      </c>
      <c r="AD77" s="165" t="str">
        <f>IFERROR(IF(OR(AND(Z77="Muy Baja",AB77="Leve"),AND(Z77="Muy Baja",AB77="Menor"),AND(Z77="Baja",AB77="Leve")),"Bajo",IF(OR(AND(Z77="Muy baja",AB77="Moderado"),AND(Z77="Baja",AB77="Menor"),AND(Z77="Baja",AB77="Moderado"),AND(Z77="Media",AB77="Leve"),AND(Z77="Media",AB77="Menor"),AND(Z77="Media",AB77="Moderado"),AND(Z77="Alta",AB77="Leve"),AND(Z77="Alta",AB77="Menor")),"Moderado",IF(OR(AND(Z77="Muy Baja",AB77="Mayor"),AND(Z77="Baja",AB77="Mayor"),AND(Z77="Media",AB77="Mayor"),AND(Z77="Alta",AB77="Moderado"),AND(Z77="Alta",AB77="Mayor"),AND(Z77="Muy Alta",AB77="Leve"),AND(Z77="Muy Alta",AB77="Menor"),AND(Z77="Muy Alta",AB77="Moderado"),AND(Z77="Muy Alta",AB77="Mayor")),"Alto",IF(OR(AND(Z77="Muy Baja",AB77="Catastrófico"),AND(Z77="Baja",AB77="Catastrófico"),AND(Z77="Media",AB77="Catastrófico"),AND(Z77="Alta",AB77="Catastrófico"),AND(Z77="Muy Alta",AB77="Catastrófico")),"Extremo","")))),"")</f>
        <v/>
      </c>
      <c r="AE77" s="119"/>
      <c r="AF77" s="113"/>
      <c r="AG77" s="156"/>
      <c r="AH77" s="157"/>
      <c r="AI77" s="157"/>
      <c r="AJ77" s="157"/>
      <c r="AK77" s="113"/>
      <c r="AL77" s="156"/>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row>
    <row r="78" spans="1:70" ht="18" hidden="1" customHeight="1" x14ac:dyDescent="0.25">
      <c r="A78" s="261"/>
      <c r="B78" s="146"/>
      <c r="C78" s="273"/>
      <c r="D78" s="273"/>
      <c r="E78" s="273"/>
      <c r="F78" s="276"/>
      <c r="G78" s="273"/>
      <c r="H78" s="300"/>
      <c r="I78" s="217"/>
      <c r="J78" s="214"/>
      <c r="K78" s="211"/>
      <c r="L78" s="214">
        <f ca="1">IF(NOT(ISERROR(MATCH(K78,_xlfn.ANCHORARRAY(F101),0))),J103&amp;"Por favor no seleccionar los criterios de impacto",K78)</f>
        <v>0</v>
      </c>
      <c r="M78" s="217"/>
      <c r="N78" s="214"/>
      <c r="O78" s="220"/>
      <c r="P78" s="155">
        <v>2</v>
      </c>
      <c r="Q78" s="158"/>
      <c r="R78" s="148" t="str">
        <f>IF(OR(S78="Preventivo",S78="Detectivo"),"Probabilidad",IF(S78="Correctivo","Impacto",""))</f>
        <v/>
      </c>
      <c r="S78" s="115"/>
      <c r="T78" s="115"/>
      <c r="U78" s="149" t="str">
        <f t="shared" ref="U78:U82" si="70">IF(AND(S78="Preventivo",T78="Automático"),"50%",IF(AND(S78="Preventivo",T78="Manual"),"40%",IF(AND(S78="Detectivo",T78="Automático"),"40%",IF(AND(S78="Detectivo",T78="Manual"),"30%",IF(AND(S78="Correctivo",T78="Automático"),"35%",IF(AND(S78="Correctivo",T78="Manual"),"25%",""))))))</f>
        <v/>
      </c>
      <c r="V78" s="115"/>
      <c r="W78" s="115"/>
      <c r="X78" s="115"/>
      <c r="Y78" s="150" t="str">
        <f>IFERROR(IF(AND(R77="Probabilidad",R78="Probabilidad"),(AA77-(+AA77*U78)),IF(R78="Probabilidad",(J77-(+J77*U78)),IF(R78="Impacto",AA77,""))),"")</f>
        <v/>
      </c>
      <c r="Z78" s="152" t="str">
        <f t="shared" si="62"/>
        <v/>
      </c>
      <c r="AA78" s="151" t="str">
        <f t="shared" ref="AA78:AA82" si="71">+Y78</f>
        <v/>
      </c>
      <c r="AB78" s="152" t="str">
        <f t="shared" si="64"/>
        <v/>
      </c>
      <c r="AC78" s="151" t="str">
        <f>IFERROR(IF(AND(R77="Impacto",R78="Impacto"),(AC77-(+AC77*U78)),IF(R78="Impacto",(N77-(+N77*U78)),IF(R78="Probabilidad",AC77,""))),"")</f>
        <v/>
      </c>
      <c r="AD78" s="153" t="str">
        <f t="shared" ref="AD78:AD79" si="72">IFERROR(IF(OR(AND(Z78="Muy Baja",AB78="Leve"),AND(Z78="Muy Baja",AB78="Menor"),AND(Z78="Baja",AB78="Leve")),"Bajo",IF(OR(AND(Z78="Muy baja",AB78="Moderado"),AND(Z78="Baja",AB78="Menor"),AND(Z78="Baja",AB78="Moderado"),AND(Z78="Media",AB78="Leve"),AND(Z78="Media",AB78="Menor"),AND(Z78="Media",AB78="Moderado"),AND(Z78="Alta",AB78="Leve"),AND(Z78="Alta",AB78="Menor")),"Moderado",IF(OR(AND(Z78="Muy Baja",AB78="Mayor"),AND(Z78="Baja",AB78="Mayor"),AND(Z78="Media",AB78="Mayor"),AND(Z78="Alta",AB78="Moderado"),AND(Z78="Alta",AB78="Mayor"),AND(Z78="Muy Alta",AB78="Leve"),AND(Z78="Muy Alta",AB78="Menor"),AND(Z78="Muy Alta",AB78="Moderado"),AND(Z78="Muy Alta",AB78="Mayor")),"Alto",IF(OR(AND(Z78="Muy Baja",AB78="Catastrófico"),AND(Z78="Baja",AB78="Catastrófico"),AND(Z78="Media",AB78="Catastrófico"),AND(Z78="Alta",AB78="Catastrófico"),AND(Z78="Muy Alta",AB78="Catastrófico")),"Extremo","")))),"")</f>
        <v/>
      </c>
      <c r="AE78" s="154"/>
      <c r="AF78" s="113"/>
      <c r="AG78" s="156"/>
      <c r="AH78" s="157"/>
      <c r="AI78" s="157"/>
      <c r="AJ78" s="157"/>
      <c r="AK78" s="113"/>
      <c r="AL78" s="156"/>
    </row>
    <row r="79" spans="1:70" ht="18" hidden="1" customHeight="1" x14ac:dyDescent="0.25">
      <c r="A79" s="261"/>
      <c r="B79" s="146"/>
      <c r="C79" s="273"/>
      <c r="D79" s="273"/>
      <c r="E79" s="273"/>
      <c r="F79" s="276"/>
      <c r="G79" s="273"/>
      <c r="H79" s="300"/>
      <c r="I79" s="217"/>
      <c r="J79" s="214"/>
      <c r="K79" s="211"/>
      <c r="L79" s="214">
        <f ca="1">IF(NOT(ISERROR(MATCH(K79,_xlfn.ANCHORARRAY(F102),0))),J104&amp;"Por favor no seleccionar los criterios de impacto",K79)</f>
        <v>0</v>
      </c>
      <c r="M79" s="217"/>
      <c r="N79" s="214"/>
      <c r="O79" s="220"/>
      <c r="P79" s="155">
        <v>3</v>
      </c>
      <c r="Q79" s="147"/>
      <c r="R79" s="148" t="str">
        <f>IF(OR(S79="Preventivo",S79="Detectivo"),"Probabilidad",IF(S79="Correctivo","Impacto",""))</f>
        <v/>
      </c>
      <c r="S79" s="115"/>
      <c r="T79" s="115"/>
      <c r="U79" s="149" t="str">
        <f t="shared" si="70"/>
        <v/>
      </c>
      <c r="V79" s="115"/>
      <c r="W79" s="115"/>
      <c r="X79" s="115"/>
      <c r="Y79" s="150" t="str">
        <f>IFERROR(IF(AND(R78="Probabilidad",R79="Probabilidad"),(AA78-(+AA78*U79)),IF(AND(R78="Impacto",R79="Probabilidad"),(AA77-(+AA77*U79)),IF(R79="Impacto",AA78,""))),"")</f>
        <v/>
      </c>
      <c r="Z79" s="152" t="str">
        <f t="shared" si="62"/>
        <v/>
      </c>
      <c r="AA79" s="151" t="str">
        <f t="shared" si="71"/>
        <v/>
      </c>
      <c r="AB79" s="152" t="str">
        <f t="shared" si="64"/>
        <v/>
      </c>
      <c r="AC79" s="151" t="str">
        <f>IFERROR(IF(AND(R78="Impacto",R79="Impacto"),(AC78-(+AC78*U79)),IF(AND(R78="Probabilidad",R79="Impacto"),(AC77-(+AC77*U79)),IF(R79="Probabilidad",AC78,""))),"")</f>
        <v/>
      </c>
      <c r="AD79" s="153" t="str">
        <f t="shared" si="72"/>
        <v/>
      </c>
      <c r="AE79" s="154"/>
      <c r="AF79" s="113"/>
      <c r="AG79" s="156"/>
      <c r="AH79" s="157"/>
      <c r="AI79" s="157"/>
      <c r="AJ79" s="157"/>
      <c r="AK79" s="113"/>
      <c r="AL79" s="156"/>
    </row>
    <row r="80" spans="1:70" ht="18" hidden="1" customHeight="1" x14ac:dyDescent="0.25">
      <c r="A80" s="261"/>
      <c r="B80" s="146"/>
      <c r="C80" s="273"/>
      <c r="D80" s="273"/>
      <c r="E80" s="273"/>
      <c r="F80" s="276"/>
      <c r="G80" s="273"/>
      <c r="H80" s="300"/>
      <c r="I80" s="217"/>
      <c r="J80" s="214"/>
      <c r="K80" s="211"/>
      <c r="L80" s="214">
        <f ca="1">IF(NOT(ISERROR(MATCH(K80,_xlfn.ANCHORARRAY(F103),0))),J105&amp;"Por favor no seleccionar los criterios de impacto",K80)</f>
        <v>0</v>
      </c>
      <c r="M80" s="217"/>
      <c r="N80" s="214"/>
      <c r="O80" s="220"/>
      <c r="P80" s="155">
        <v>4</v>
      </c>
      <c r="Q80" s="158"/>
      <c r="R80" s="148" t="str">
        <f t="shared" ref="R80:R82" si="73">IF(OR(S80="Preventivo",S80="Detectivo"),"Probabilidad",IF(S80="Correctivo","Impacto",""))</f>
        <v/>
      </c>
      <c r="S80" s="115"/>
      <c r="T80" s="115"/>
      <c r="U80" s="149" t="str">
        <f t="shared" si="70"/>
        <v/>
      </c>
      <c r="V80" s="115"/>
      <c r="W80" s="115"/>
      <c r="X80" s="115"/>
      <c r="Y80" s="150" t="str">
        <f t="shared" ref="Y80:Y81" si="74">IFERROR(IF(AND(R79="Probabilidad",R80="Probabilidad"),(AA79-(+AA79*U80)),IF(AND(R79="Impacto",R80="Probabilidad"),(AA78-(+AA78*U80)),IF(R80="Impacto",AA79,""))),"")</f>
        <v/>
      </c>
      <c r="Z80" s="152" t="str">
        <f t="shared" si="62"/>
        <v/>
      </c>
      <c r="AA80" s="151" t="str">
        <f t="shared" si="71"/>
        <v/>
      </c>
      <c r="AB80" s="152" t="str">
        <f t="shared" si="64"/>
        <v/>
      </c>
      <c r="AC80" s="151" t="str">
        <f t="shared" ref="AC80:AC81" si="75">IFERROR(IF(AND(R79="Impacto",R80="Impacto"),(AC79-(+AC79*U80)),IF(AND(R79="Probabilidad",R80="Impacto"),(AC78-(+AC78*U80)),IF(R80="Probabilidad",AC79,""))),"")</f>
        <v/>
      </c>
      <c r="AD80" s="153"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54"/>
      <c r="AF80" s="113"/>
      <c r="AG80" s="156"/>
      <c r="AH80" s="157"/>
      <c r="AI80" s="157"/>
      <c r="AJ80" s="157"/>
      <c r="AK80" s="113"/>
      <c r="AL80" s="156"/>
    </row>
    <row r="81" spans="1:38" ht="18" hidden="1" customHeight="1" x14ac:dyDescent="0.25">
      <c r="A81" s="261"/>
      <c r="B81" s="146"/>
      <c r="C81" s="273"/>
      <c r="D81" s="273"/>
      <c r="E81" s="273"/>
      <c r="F81" s="276"/>
      <c r="G81" s="273"/>
      <c r="H81" s="300"/>
      <c r="I81" s="217"/>
      <c r="J81" s="214"/>
      <c r="K81" s="211"/>
      <c r="L81" s="214">
        <f ca="1">IF(NOT(ISERROR(MATCH(K81,_xlfn.ANCHORARRAY(F104),0))),J106&amp;"Por favor no seleccionar los criterios de impacto",K81)</f>
        <v>0</v>
      </c>
      <c r="M81" s="217"/>
      <c r="N81" s="214"/>
      <c r="O81" s="220"/>
      <c r="P81" s="155">
        <v>5</v>
      </c>
      <c r="Q81" s="158"/>
      <c r="R81" s="148" t="str">
        <f t="shared" si="73"/>
        <v/>
      </c>
      <c r="S81" s="115"/>
      <c r="T81" s="115"/>
      <c r="U81" s="149" t="str">
        <f t="shared" si="70"/>
        <v/>
      </c>
      <c r="V81" s="115"/>
      <c r="W81" s="115"/>
      <c r="X81" s="115"/>
      <c r="Y81" s="150" t="str">
        <f t="shared" si="74"/>
        <v/>
      </c>
      <c r="Z81" s="152" t="str">
        <f t="shared" si="62"/>
        <v/>
      </c>
      <c r="AA81" s="151" t="str">
        <f t="shared" si="71"/>
        <v/>
      </c>
      <c r="AB81" s="152" t="str">
        <f t="shared" si="64"/>
        <v/>
      </c>
      <c r="AC81" s="151" t="str">
        <f t="shared" si="75"/>
        <v/>
      </c>
      <c r="AD81" s="153" t="str">
        <f t="shared" ref="AD81:AD82" si="76">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154"/>
      <c r="AF81" s="113"/>
      <c r="AG81" s="156"/>
      <c r="AH81" s="157"/>
      <c r="AI81" s="157"/>
      <c r="AJ81" s="157"/>
      <c r="AK81" s="113"/>
      <c r="AL81" s="156"/>
    </row>
    <row r="82" spans="1:38" ht="18" hidden="1" customHeight="1" x14ac:dyDescent="0.25">
      <c r="A82" s="262"/>
      <c r="B82" s="159"/>
      <c r="C82" s="274"/>
      <c r="D82" s="274"/>
      <c r="E82" s="274"/>
      <c r="F82" s="277"/>
      <c r="G82" s="274"/>
      <c r="H82" s="301"/>
      <c r="I82" s="218"/>
      <c r="J82" s="215"/>
      <c r="K82" s="212"/>
      <c r="L82" s="215">
        <f ca="1">IF(NOT(ISERROR(MATCH(K82,_xlfn.ANCHORARRAY(F105),0))),J107&amp;"Por favor no seleccionar los criterios de impacto",K82)</f>
        <v>0</v>
      </c>
      <c r="M82" s="218"/>
      <c r="N82" s="215"/>
      <c r="O82" s="221"/>
      <c r="P82" s="155">
        <v>6</v>
      </c>
      <c r="Q82" s="158"/>
      <c r="R82" s="148" t="str">
        <f t="shared" si="73"/>
        <v/>
      </c>
      <c r="S82" s="115"/>
      <c r="T82" s="115"/>
      <c r="U82" s="149" t="str">
        <f t="shared" si="70"/>
        <v/>
      </c>
      <c r="V82" s="115"/>
      <c r="W82" s="115"/>
      <c r="X82" s="115"/>
      <c r="Y82" s="150" t="str">
        <f>IFERROR(IF(AND(R81="Probabilidad",R82="Probabilidad"),(AA81-(+AA81*U82)),IF(AND(R81="Impacto",R82="Probabilidad"),(AA80-(+AA80*U82)),IF(R82="Impacto",AA81,""))),"")</f>
        <v/>
      </c>
      <c r="Z82" s="152" t="str">
        <f t="shared" si="62"/>
        <v/>
      </c>
      <c r="AA82" s="151" t="str">
        <f t="shared" si="71"/>
        <v/>
      </c>
      <c r="AB82" s="152" t="str">
        <f t="shared" si="64"/>
        <v/>
      </c>
      <c r="AC82" s="151" t="str">
        <f>IFERROR(IF(AND(R81="Impacto",R82="Impacto"),(AC81-(+AC81*U82)),IF(AND(R81="Probabilidad",R82="Impacto"),(AC80-(+AC80*U82)),IF(R82="Probabilidad",AC81,""))),"")</f>
        <v/>
      </c>
      <c r="AD82" s="153" t="str">
        <f t="shared" si="76"/>
        <v/>
      </c>
      <c r="AE82" s="154"/>
      <c r="AF82" s="113"/>
      <c r="AG82" s="156"/>
      <c r="AH82" s="157"/>
      <c r="AI82" s="157"/>
      <c r="AJ82" s="157"/>
      <c r="AK82" s="113"/>
      <c r="AL82" s="156"/>
    </row>
    <row r="83" spans="1:38" ht="34.5" customHeight="1" x14ac:dyDescent="0.25">
      <c r="A83" s="141"/>
      <c r="B83" s="171"/>
      <c r="C83" s="296" t="s">
        <v>345</v>
      </c>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8"/>
    </row>
    <row r="85" spans="1:38" x14ac:dyDescent="0.25">
      <c r="A85" s="102"/>
      <c r="B85" s="176" t="s">
        <v>390</v>
      </c>
      <c r="C85" s="108"/>
      <c r="D85" s="102"/>
      <c r="E85" s="102"/>
      <c r="G85" s="102"/>
    </row>
    <row r="86" spans="1:38" x14ac:dyDescent="0.25">
      <c r="B86" s="177" t="s">
        <v>389</v>
      </c>
    </row>
  </sheetData>
  <dataConsolidate/>
  <mergeCells count="226">
    <mergeCell ref="K77:K82"/>
    <mergeCell ref="L77:L82"/>
    <mergeCell ref="M77:M82"/>
    <mergeCell ref="N77:N82"/>
    <mergeCell ref="O77:O82"/>
    <mergeCell ref="A77:A82"/>
    <mergeCell ref="C77:C82"/>
    <mergeCell ref="D77:D82"/>
    <mergeCell ref="E77:E82"/>
    <mergeCell ref="F77:F82"/>
    <mergeCell ref="G77:G82"/>
    <mergeCell ref="H77:H82"/>
    <mergeCell ref="I77:I82"/>
    <mergeCell ref="J77:J82"/>
    <mergeCell ref="I71:I76"/>
    <mergeCell ref="C59:C64"/>
    <mergeCell ref="D59:D64"/>
    <mergeCell ref="E59:E64"/>
    <mergeCell ref="F59:F64"/>
    <mergeCell ref="G59:G64"/>
    <mergeCell ref="H59:H64"/>
    <mergeCell ref="I59:I64"/>
    <mergeCell ref="B17:B22"/>
    <mergeCell ref="C29:C34"/>
    <mergeCell ref="D29:D34"/>
    <mergeCell ref="E29:E34"/>
    <mergeCell ref="F29:F34"/>
    <mergeCell ref="C35:C40"/>
    <mergeCell ref="I35:I40"/>
    <mergeCell ref="E17:E22"/>
    <mergeCell ref="F17:F22"/>
    <mergeCell ref="A71:A76"/>
    <mergeCell ref="C71:C76"/>
    <mergeCell ref="D71:D76"/>
    <mergeCell ref="E71:E76"/>
    <mergeCell ref="F71:F76"/>
    <mergeCell ref="G71:G76"/>
    <mergeCell ref="H71:H76"/>
    <mergeCell ref="A29:A34"/>
    <mergeCell ref="A35:A40"/>
    <mergeCell ref="B59:B64"/>
    <mergeCell ref="B35:B40"/>
    <mergeCell ref="J71:J76"/>
    <mergeCell ref="K71:K76"/>
    <mergeCell ref="L71:L76"/>
    <mergeCell ref="M71:M76"/>
    <mergeCell ref="N71:N76"/>
    <mergeCell ref="O71:O76"/>
    <mergeCell ref="A41:A46"/>
    <mergeCell ref="B41:B46"/>
    <mergeCell ref="C41:C46"/>
    <mergeCell ref="D41:D46"/>
    <mergeCell ref="E41:E46"/>
    <mergeCell ref="F41:F46"/>
    <mergeCell ref="G41:G46"/>
    <mergeCell ref="H41:H46"/>
    <mergeCell ref="I41:I46"/>
    <mergeCell ref="J41:J46"/>
    <mergeCell ref="K41:K46"/>
    <mergeCell ref="L41:L46"/>
    <mergeCell ref="M41:M46"/>
    <mergeCell ref="N41:N46"/>
    <mergeCell ref="O41:O46"/>
    <mergeCell ref="B47:B52"/>
    <mergeCell ref="B53:B58"/>
    <mergeCell ref="A53:A58"/>
    <mergeCell ref="AF9:AF10"/>
    <mergeCell ref="AL9:AL10"/>
    <mergeCell ref="AK9:AK10"/>
    <mergeCell ref="AJ9:AJ10"/>
    <mergeCell ref="AH9:AH10"/>
    <mergeCell ref="AG9:AG10"/>
    <mergeCell ref="A11:A16"/>
    <mergeCell ref="C11:C16"/>
    <mergeCell ref="D11:D16"/>
    <mergeCell ref="E11:E16"/>
    <mergeCell ref="F11:F16"/>
    <mergeCell ref="O11:O16"/>
    <mergeCell ref="J11:J16"/>
    <mergeCell ref="K11:K16"/>
    <mergeCell ref="L11:L16"/>
    <mergeCell ref="M11:M16"/>
    <mergeCell ref="N11:N16"/>
    <mergeCell ref="B11:B16"/>
    <mergeCell ref="S9:X9"/>
    <mergeCell ref="G11:G16"/>
    <mergeCell ref="H11:H16"/>
    <mergeCell ref="I11:I16"/>
    <mergeCell ref="I9:I10"/>
    <mergeCell ref="J9:J10"/>
    <mergeCell ref="AE9:AE10"/>
    <mergeCell ref="P9:P10"/>
    <mergeCell ref="AD9:AD10"/>
    <mergeCell ref="AC9:AC10"/>
    <mergeCell ref="Y9:Y10"/>
    <mergeCell ref="Q9:Q10"/>
    <mergeCell ref="AB9:AB10"/>
    <mergeCell ref="B9:B10"/>
    <mergeCell ref="Z9:Z10"/>
    <mergeCell ref="AA9:AA10"/>
    <mergeCell ref="H9:H10"/>
    <mergeCell ref="C9:C10"/>
    <mergeCell ref="O9:O10"/>
    <mergeCell ref="K9:K10"/>
    <mergeCell ref="L9:L10"/>
    <mergeCell ref="M9:M10"/>
    <mergeCell ref="N9:N10"/>
    <mergeCell ref="R9:R10"/>
    <mergeCell ref="L35:L40"/>
    <mergeCell ref="A6:C6"/>
    <mergeCell ref="A7:C7"/>
    <mergeCell ref="A9:A10"/>
    <mergeCell ref="G9:G10"/>
    <mergeCell ref="F9:F10"/>
    <mergeCell ref="E9:E10"/>
    <mergeCell ref="D9:D10"/>
    <mergeCell ref="D6:O6"/>
    <mergeCell ref="D7:O7"/>
    <mergeCell ref="O29:O34"/>
    <mergeCell ref="N29:N34"/>
    <mergeCell ref="M29:M34"/>
    <mergeCell ref="G17:G22"/>
    <mergeCell ref="H17:H22"/>
    <mergeCell ref="I17:I22"/>
    <mergeCell ref="J17:J22"/>
    <mergeCell ref="K17:K22"/>
    <mergeCell ref="L17:L22"/>
    <mergeCell ref="M17:M22"/>
    <mergeCell ref="N17:N22"/>
    <mergeCell ref="I8:O8"/>
    <mergeCell ref="O17:O22"/>
    <mergeCell ref="A17:A22"/>
    <mergeCell ref="C83:AL83"/>
    <mergeCell ref="N59:N64"/>
    <mergeCell ref="O59:O64"/>
    <mergeCell ref="K59:K64"/>
    <mergeCell ref="L59:L64"/>
    <mergeCell ref="M59:M64"/>
    <mergeCell ref="N23:N28"/>
    <mergeCell ref="O23:O28"/>
    <mergeCell ref="G23:G28"/>
    <mergeCell ref="H23:H28"/>
    <mergeCell ref="I23:I28"/>
    <mergeCell ref="J23:J28"/>
    <mergeCell ref="G65:G70"/>
    <mergeCell ref="H65:H70"/>
    <mergeCell ref="I65:I70"/>
    <mergeCell ref="J59:J64"/>
    <mergeCell ref="M35:M40"/>
    <mergeCell ref="G29:G34"/>
    <mergeCell ref="H29:H34"/>
    <mergeCell ref="I29:I34"/>
    <mergeCell ref="J29:J34"/>
    <mergeCell ref="K29:K34"/>
    <mergeCell ref="C47:C52"/>
    <mergeCell ref="D47:D52"/>
    <mergeCell ref="A23:A28"/>
    <mergeCell ref="C23:C28"/>
    <mergeCell ref="D23:D28"/>
    <mergeCell ref="F23:F28"/>
    <mergeCell ref="A1:E4"/>
    <mergeCell ref="A65:A70"/>
    <mergeCell ref="C65:C70"/>
    <mergeCell ref="D65:D70"/>
    <mergeCell ref="E65:E70"/>
    <mergeCell ref="F65:F70"/>
    <mergeCell ref="A8:H8"/>
    <mergeCell ref="A59:A64"/>
    <mergeCell ref="C53:C58"/>
    <mergeCell ref="D53:D58"/>
    <mergeCell ref="E53:E58"/>
    <mergeCell ref="F53:F58"/>
    <mergeCell ref="G53:G58"/>
    <mergeCell ref="B23:B28"/>
    <mergeCell ref="B29:B34"/>
    <mergeCell ref="A47:A52"/>
    <mergeCell ref="E47:E52"/>
    <mergeCell ref="F47:F52"/>
    <mergeCell ref="N53:N58"/>
    <mergeCell ref="O53:O58"/>
    <mergeCell ref="L23:L28"/>
    <mergeCell ref="M23:M28"/>
    <mergeCell ref="K53:K58"/>
    <mergeCell ref="L53:L58"/>
    <mergeCell ref="M53:M58"/>
    <mergeCell ref="C17:C22"/>
    <mergeCell ref="D17:D22"/>
    <mergeCell ref="E23:E28"/>
    <mergeCell ref="I47:I52"/>
    <mergeCell ref="J47:J52"/>
    <mergeCell ref="H35:H40"/>
    <mergeCell ref="K23:K28"/>
    <mergeCell ref="H53:H58"/>
    <mergeCell ref="I53:I58"/>
    <mergeCell ref="J53:J58"/>
    <mergeCell ref="G47:G52"/>
    <mergeCell ref="H47:H52"/>
    <mergeCell ref="D35:D40"/>
    <mergeCell ref="E35:E40"/>
    <mergeCell ref="F35:F40"/>
    <mergeCell ref="G35:G40"/>
    <mergeCell ref="J35:J40"/>
    <mergeCell ref="AK1:AL1"/>
    <mergeCell ref="AK2:AL2"/>
    <mergeCell ref="AK3:AL3"/>
    <mergeCell ref="AK4:AL4"/>
    <mergeCell ref="F1:AJ4"/>
    <mergeCell ref="K65:K70"/>
    <mergeCell ref="L65:L70"/>
    <mergeCell ref="M65:M70"/>
    <mergeCell ref="N65:N70"/>
    <mergeCell ref="O65:O70"/>
    <mergeCell ref="J65:J70"/>
    <mergeCell ref="AI9:AI10"/>
    <mergeCell ref="P8:X8"/>
    <mergeCell ref="Y8:AE8"/>
    <mergeCell ref="AF8:AL8"/>
    <mergeCell ref="N35:N40"/>
    <mergeCell ref="O35:O40"/>
    <mergeCell ref="K47:K52"/>
    <mergeCell ref="L47:L52"/>
    <mergeCell ref="M47:M52"/>
    <mergeCell ref="N47:N52"/>
    <mergeCell ref="O47:O52"/>
    <mergeCell ref="L29:L34"/>
    <mergeCell ref="K35:K40"/>
  </mergeCells>
  <conditionalFormatting sqref="I11 I29 Z41:Z82">
    <cfRule type="cellIs" dxfId="143" priority="791" operator="equal">
      <formula>"Media"</formula>
    </cfRule>
    <cfRule type="cellIs" dxfId="142" priority="793" operator="equal">
      <formula>"Muy Baja"</formula>
    </cfRule>
    <cfRule type="cellIs" dxfId="141" priority="792" operator="equal">
      <formula>"Baja"</formula>
    </cfRule>
    <cfRule type="cellIs" dxfId="140" priority="790" operator="equal">
      <formula>"Alta"</formula>
    </cfRule>
    <cfRule type="cellIs" dxfId="139" priority="789" operator="equal">
      <formula>"Muy Alta"</formula>
    </cfRule>
  </conditionalFormatting>
  <conditionalFormatting sqref="I17">
    <cfRule type="cellIs" dxfId="138" priority="555" operator="equal">
      <formula>"Muy Baja"</formula>
    </cfRule>
    <cfRule type="cellIs" dxfId="137" priority="551" operator="equal">
      <formula>"Muy Alta"</formula>
    </cfRule>
    <cfRule type="cellIs" dxfId="136" priority="552" operator="equal">
      <formula>"Alta"</formula>
    </cfRule>
    <cfRule type="cellIs" dxfId="135" priority="553" operator="equal">
      <formula>"Media"</formula>
    </cfRule>
    <cfRule type="cellIs" dxfId="134" priority="554" operator="equal">
      <formula>"Baja"</formula>
    </cfRule>
  </conditionalFormatting>
  <conditionalFormatting sqref="I23">
    <cfRule type="cellIs" dxfId="133" priority="579" operator="equal">
      <formula>"Muy Alta"</formula>
    </cfRule>
    <cfRule type="cellIs" dxfId="132" priority="580" operator="equal">
      <formula>"Alta"</formula>
    </cfRule>
    <cfRule type="cellIs" dxfId="131" priority="582" operator="equal">
      <formula>"Baja"</formula>
    </cfRule>
    <cfRule type="cellIs" dxfId="130" priority="581" operator="equal">
      <formula>"Media"</formula>
    </cfRule>
    <cfRule type="cellIs" dxfId="129" priority="583" operator="equal">
      <formula>"Muy Baja"</formula>
    </cfRule>
  </conditionalFormatting>
  <conditionalFormatting sqref="I35">
    <cfRule type="cellIs" dxfId="128" priority="186" operator="equal">
      <formula>"Media"</formula>
    </cfRule>
    <cfRule type="cellIs" dxfId="127" priority="185" operator="equal">
      <formula>"Alta"</formula>
    </cfRule>
    <cfRule type="cellIs" dxfId="126" priority="188" operator="equal">
      <formula>"Muy Baja"</formula>
    </cfRule>
    <cfRule type="cellIs" dxfId="125" priority="184" operator="equal">
      <formula>"Muy Alta"</formula>
    </cfRule>
    <cfRule type="cellIs" dxfId="124" priority="187" operator="equal">
      <formula>"Baja"</formula>
    </cfRule>
  </conditionalFormatting>
  <conditionalFormatting sqref="I41">
    <cfRule type="cellIs" dxfId="123" priority="199" operator="equal">
      <formula>"Alta"</formula>
    </cfRule>
    <cfRule type="cellIs" dxfId="122" priority="198" operator="equal">
      <formula>"Muy Alta"</formula>
    </cfRule>
    <cfRule type="cellIs" dxfId="121" priority="200" operator="equal">
      <formula>"Media"</formula>
    </cfRule>
    <cfRule type="cellIs" dxfId="120" priority="202" operator="equal">
      <formula>"Muy Baja"</formula>
    </cfRule>
    <cfRule type="cellIs" dxfId="119" priority="201" operator="equal">
      <formula>"Baja"</formula>
    </cfRule>
  </conditionalFormatting>
  <conditionalFormatting sqref="I47">
    <cfRule type="cellIs" dxfId="118" priority="156" operator="equal">
      <formula>"Alta"</formula>
    </cfRule>
    <cfRule type="cellIs" dxfId="117" priority="157" operator="equal">
      <formula>"Media"</formula>
    </cfRule>
    <cfRule type="cellIs" dxfId="116" priority="158" operator="equal">
      <formula>"Baja"</formula>
    </cfRule>
    <cfRule type="cellIs" dxfId="115" priority="159" operator="equal">
      <formula>"Muy Baja"</formula>
    </cfRule>
    <cfRule type="cellIs" dxfId="114" priority="155" operator="equal">
      <formula>"Muy Alta"</formula>
    </cfRule>
  </conditionalFormatting>
  <conditionalFormatting sqref="I53">
    <cfRule type="cellIs" dxfId="113" priority="609" operator="equal">
      <formula>"Media"</formula>
    </cfRule>
    <cfRule type="cellIs" dxfId="112" priority="608" operator="equal">
      <formula>"Alta"</formula>
    </cfRule>
    <cfRule type="cellIs" dxfId="111" priority="607" operator="equal">
      <formula>"Muy Alta"</formula>
    </cfRule>
    <cfRule type="cellIs" dxfId="110" priority="610" operator="equal">
      <formula>"Baja"</formula>
    </cfRule>
    <cfRule type="cellIs" dxfId="109" priority="611" operator="equal">
      <formula>"Muy Baja"</formula>
    </cfRule>
  </conditionalFormatting>
  <conditionalFormatting sqref="I59">
    <cfRule type="cellIs" dxfId="108" priority="524" operator="equal">
      <formula>"Alta"</formula>
    </cfRule>
    <cfRule type="cellIs" dxfId="107" priority="527" operator="equal">
      <formula>"Muy Baja"</formula>
    </cfRule>
    <cfRule type="cellIs" dxfId="106" priority="526" operator="equal">
      <formula>"Baja"</formula>
    </cfRule>
    <cfRule type="cellIs" dxfId="105" priority="525" operator="equal">
      <formula>"Media"</formula>
    </cfRule>
    <cfRule type="cellIs" dxfId="104" priority="523" operator="equal">
      <formula>"Muy Alta"</formula>
    </cfRule>
  </conditionalFormatting>
  <conditionalFormatting sqref="I65">
    <cfRule type="cellIs" dxfId="103" priority="499" operator="equal">
      <formula>"Muy Baja"</formula>
    </cfRule>
    <cfRule type="cellIs" dxfId="102" priority="497" operator="equal">
      <formula>"Media"</formula>
    </cfRule>
    <cfRule type="cellIs" dxfId="101" priority="496" operator="equal">
      <formula>"Alta"</formula>
    </cfRule>
    <cfRule type="cellIs" dxfId="100" priority="495" operator="equal">
      <formula>"Muy Alta"</formula>
    </cfRule>
    <cfRule type="cellIs" dxfId="99" priority="498" operator="equal">
      <formula>"Baja"</formula>
    </cfRule>
  </conditionalFormatting>
  <conditionalFormatting sqref="I71">
    <cfRule type="cellIs" dxfId="98" priority="54" operator="equal">
      <formula>"Baja"</formula>
    </cfRule>
    <cfRule type="cellIs" dxfId="97" priority="55" operator="equal">
      <formula>"Muy Baja"</formula>
    </cfRule>
    <cfRule type="cellIs" dxfId="96" priority="52" operator="equal">
      <formula>"Alta"</formula>
    </cfRule>
    <cfRule type="cellIs" dxfId="95" priority="51" operator="equal">
      <formula>"Muy Alta"</formula>
    </cfRule>
    <cfRule type="cellIs" dxfId="94" priority="53" operator="equal">
      <formula>"Media"</formula>
    </cfRule>
  </conditionalFormatting>
  <conditionalFormatting sqref="I77">
    <cfRule type="cellIs" dxfId="93" priority="44" operator="equal">
      <formula>"Media"</formula>
    </cfRule>
    <cfRule type="cellIs" dxfId="92" priority="43" operator="equal">
      <formula>"Alta"</formula>
    </cfRule>
    <cfRule type="cellIs" dxfId="91" priority="42" operator="equal">
      <formula>"Muy Alta"</formula>
    </cfRule>
    <cfRule type="cellIs" dxfId="90" priority="45" operator="equal">
      <formula>"Baja"</formula>
    </cfRule>
    <cfRule type="cellIs" dxfId="89" priority="46" operator="equal">
      <formula>"Muy Baja"</formula>
    </cfRule>
  </conditionalFormatting>
  <conditionalFormatting sqref="L11:L82">
    <cfRule type="containsText" dxfId="88" priority="84" operator="containsText" text="❌">
      <formula>NOT(ISERROR(SEARCH("❌",L11)))</formula>
    </cfRule>
  </conditionalFormatting>
  <conditionalFormatting sqref="M11 M29 AB41:AB82 M59 M65 M71 M77">
    <cfRule type="cellIs" dxfId="87" priority="786" operator="equal">
      <formula>"Moderado"</formula>
    </cfRule>
    <cfRule type="cellIs" dxfId="86" priority="787" operator="equal">
      <formula>"Menor"</formula>
    </cfRule>
    <cfRule type="cellIs" dxfId="85" priority="788" operator="equal">
      <formula>"Leve"</formula>
    </cfRule>
    <cfRule type="cellIs" dxfId="84" priority="784" operator="equal">
      <formula>"Catastrófico"</formula>
    </cfRule>
    <cfRule type="cellIs" dxfId="83" priority="785" operator="equal">
      <formula>"Mayor"</formula>
    </cfRule>
  </conditionalFormatting>
  <conditionalFormatting sqref="M17 M23">
    <cfRule type="cellIs" dxfId="82" priority="37" operator="equal">
      <formula>"Leve"</formula>
    </cfRule>
    <cfRule type="cellIs" dxfId="81" priority="33" operator="equal">
      <formula>"Catastrófico"</formula>
    </cfRule>
    <cfRule type="cellIs" dxfId="80" priority="34" operator="equal">
      <formula>"Mayor"</formula>
    </cfRule>
    <cfRule type="cellIs" dxfId="79" priority="35" operator="equal">
      <formula>"Moderado"</formula>
    </cfRule>
    <cfRule type="cellIs" dxfId="78" priority="36" operator="equal">
      <formula>"Menor"</formula>
    </cfRule>
  </conditionalFormatting>
  <conditionalFormatting sqref="M35">
    <cfRule type="cellIs" dxfId="77" priority="180" operator="equal">
      <formula>"Mayor"</formula>
    </cfRule>
    <cfRule type="cellIs" dxfId="76" priority="183" operator="equal">
      <formula>"Leve"</formula>
    </cfRule>
    <cfRule type="cellIs" dxfId="75" priority="181" operator="equal">
      <formula>"Moderado"</formula>
    </cfRule>
    <cfRule type="cellIs" dxfId="74" priority="179" operator="equal">
      <formula>"Catastrófico"</formula>
    </cfRule>
    <cfRule type="cellIs" dxfId="73" priority="182" operator="equal">
      <formula>"Menor"</formula>
    </cfRule>
  </conditionalFormatting>
  <conditionalFormatting sqref="M41">
    <cfRule type="cellIs" dxfId="72" priority="194" operator="equal">
      <formula>"Mayor"</formula>
    </cfRule>
    <cfRule type="cellIs" dxfId="71" priority="193" operator="equal">
      <formula>"Catastrófico"</formula>
    </cfRule>
    <cfRule type="cellIs" dxfId="70" priority="195" operator="equal">
      <formula>"Moderado"</formula>
    </cfRule>
    <cfRule type="cellIs" dxfId="69" priority="196" operator="equal">
      <formula>"Menor"</formula>
    </cfRule>
    <cfRule type="cellIs" dxfId="68" priority="197" operator="equal">
      <formula>"Leve"</formula>
    </cfRule>
  </conditionalFormatting>
  <conditionalFormatting sqref="M47">
    <cfRule type="cellIs" dxfId="67" priority="154" operator="equal">
      <formula>"Leve"</formula>
    </cfRule>
    <cfRule type="cellIs" dxfId="66" priority="153" operator="equal">
      <formula>"Menor"</formula>
    </cfRule>
    <cfRule type="cellIs" dxfId="65" priority="152" operator="equal">
      <formula>"Moderado"</formula>
    </cfRule>
    <cfRule type="cellIs" dxfId="64" priority="151" operator="equal">
      <formula>"Mayor"</formula>
    </cfRule>
    <cfRule type="cellIs" dxfId="63" priority="150" operator="equal">
      <formula>"Catastrófico"</formula>
    </cfRule>
  </conditionalFormatting>
  <conditionalFormatting sqref="M53">
    <cfRule type="cellIs" dxfId="62" priority="89" operator="equal">
      <formula>"Catastrófico"</formula>
    </cfRule>
    <cfRule type="cellIs" dxfId="61" priority="90" operator="equal">
      <formula>"Mayor"</formula>
    </cfRule>
    <cfRule type="cellIs" dxfId="60" priority="91" operator="equal">
      <formula>"Moderado"</formula>
    </cfRule>
    <cfRule type="cellIs" dxfId="59" priority="92" operator="equal">
      <formula>"Menor"</formula>
    </cfRule>
    <cfRule type="cellIs" dxfId="58" priority="93" operator="equal">
      <formula>"Leve"</formula>
    </cfRule>
  </conditionalFormatting>
  <conditionalFormatting sqref="O11 AD41:AD82">
    <cfRule type="cellIs" dxfId="57" priority="783" operator="equal">
      <formula>"Bajo"</formula>
    </cfRule>
    <cfRule type="cellIs" dxfId="56" priority="782" operator="equal">
      <formula>"Moderado"</formula>
    </cfRule>
    <cfRule type="cellIs" dxfId="55" priority="781" operator="equal">
      <formula>"Alto"</formula>
    </cfRule>
    <cfRule type="cellIs" dxfId="54" priority="780" operator="equal">
      <formula>"Extremo"</formula>
    </cfRule>
  </conditionalFormatting>
  <conditionalFormatting sqref="O17 O23">
    <cfRule type="cellIs" dxfId="53" priority="31" operator="equal">
      <formula>"Moderado"</formula>
    </cfRule>
    <cfRule type="cellIs" dxfId="52" priority="30" operator="equal">
      <formula>"Alto"</formula>
    </cfRule>
    <cfRule type="cellIs" dxfId="51" priority="29" operator="equal">
      <formula>"Extremo"</formula>
    </cfRule>
    <cfRule type="cellIs" dxfId="50" priority="32" operator="equal">
      <formula>"Bajo"</formula>
    </cfRule>
  </conditionalFormatting>
  <conditionalFormatting sqref="O29">
    <cfRule type="cellIs" dxfId="49" priority="713" operator="equal">
      <formula>"Bajo"</formula>
    </cfRule>
    <cfRule type="cellIs" dxfId="48" priority="710" operator="equal">
      <formula>"Extremo"</formula>
    </cfRule>
    <cfRule type="cellIs" dxfId="47" priority="712" operator="equal">
      <formula>"Moderado"</formula>
    </cfRule>
    <cfRule type="cellIs" dxfId="46" priority="711" operator="equal">
      <formula>"Alto"</formula>
    </cfRule>
  </conditionalFormatting>
  <conditionalFormatting sqref="O35">
    <cfRule type="cellIs" dxfId="45" priority="178" operator="equal">
      <formula>"Bajo"</formula>
    </cfRule>
    <cfRule type="cellIs" dxfId="44" priority="177" operator="equal">
      <formula>"Moderado"</formula>
    </cfRule>
    <cfRule type="cellIs" dxfId="43" priority="176" operator="equal">
      <formula>"Alto"</formula>
    </cfRule>
    <cfRule type="cellIs" dxfId="42" priority="175" operator="equal">
      <formula>"Extremo"</formula>
    </cfRule>
  </conditionalFormatting>
  <conditionalFormatting sqref="O41">
    <cfRule type="cellIs" dxfId="41" priority="189" operator="equal">
      <formula>"Extremo"</formula>
    </cfRule>
    <cfRule type="cellIs" dxfId="40" priority="190" operator="equal">
      <formula>"Alto"</formula>
    </cfRule>
    <cfRule type="cellIs" dxfId="39" priority="191" operator="equal">
      <formula>"Moderado"</formula>
    </cfRule>
    <cfRule type="cellIs" dxfId="38" priority="192" operator="equal">
      <formula>"Bajo"</formula>
    </cfRule>
  </conditionalFormatting>
  <conditionalFormatting sqref="O47">
    <cfRule type="cellIs" dxfId="37" priority="146" operator="equal">
      <formula>"Extremo"</formula>
    </cfRule>
    <cfRule type="cellIs" dxfId="36" priority="149" operator="equal">
      <formula>"Bajo"</formula>
    </cfRule>
    <cfRule type="cellIs" dxfId="35" priority="147" operator="equal">
      <formula>"Alto"</formula>
    </cfRule>
    <cfRule type="cellIs" dxfId="34" priority="148" operator="equal">
      <formula>"Moderado"</formula>
    </cfRule>
  </conditionalFormatting>
  <conditionalFormatting sqref="O53">
    <cfRule type="cellIs" dxfId="33" priority="86" operator="equal">
      <formula>"Alto"</formula>
    </cfRule>
    <cfRule type="cellIs" dxfId="32" priority="88" operator="equal">
      <formula>"Bajo"</formula>
    </cfRule>
    <cfRule type="cellIs" dxfId="31" priority="87" operator="equal">
      <formula>"Moderado"</formula>
    </cfRule>
    <cfRule type="cellIs" dxfId="30" priority="85" operator="equal">
      <formula>"Extremo"</formula>
    </cfRule>
  </conditionalFormatting>
  <conditionalFormatting sqref="O59">
    <cfRule type="cellIs" dxfId="29" priority="516" operator="equal">
      <formula>"Moderado"</formula>
    </cfRule>
    <cfRule type="cellIs" dxfId="28" priority="517" operator="equal">
      <formula>"Bajo"</formula>
    </cfRule>
    <cfRule type="cellIs" dxfId="27" priority="515" operator="equal">
      <formula>"Alto"</formula>
    </cfRule>
    <cfRule type="cellIs" dxfId="26" priority="514" operator="equal">
      <formula>"Extremo"</formula>
    </cfRule>
  </conditionalFormatting>
  <conditionalFormatting sqref="O65">
    <cfRule type="cellIs" dxfId="25" priority="489" operator="equal">
      <formula>"Bajo"</formula>
    </cfRule>
    <cfRule type="cellIs" dxfId="24" priority="487" operator="equal">
      <formula>"Alto"</formula>
    </cfRule>
    <cfRule type="cellIs" dxfId="23" priority="488" operator="equal">
      <formula>"Moderado"</formula>
    </cfRule>
    <cfRule type="cellIs" dxfId="22" priority="486" operator="equal">
      <formula>"Extremo"</formula>
    </cfRule>
  </conditionalFormatting>
  <conditionalFormatting sqref="O71">
    <cfRule type="cellIs" dxfId="21" priority="48" operator="equal">
      <formula>"Alto"</formula>
    </cfRule>
    <cfRule type="cellIs" dxfId="20" priority="49" operator="equal">
      <formula>"Moderado"</formula>
    </cfRule>
    <cfRule type="cellIs" dxfId="19" priority="50" operator="equal">
      <formula>"Bajo"</formula>
    </cfRule>
    <cfRule type="cellIs" dxfId="18" priority="47" operator="equal">
      <formula>"Extremo"</formula>
    </cfRule>
  </conditionalFormatting>
  <conditionalFormatting sqref="O77">
    <cfRule type="cellIs" dxfId="17" priority="40" operator="equal">
      <formula>"Moderado"</formula>
    </cfRule>
    <cfRule type="cellIs" dxfId="16" priority="39" operator="equal">
      <formula>"Alto"</formula>
    </cfRule>
    <cfRule type="cellIs" dxfId="15" priority="38" operator="equal">
      <formula>"Extremo"</formula>
    </cfRule>
    <cfRule type="cellIs" dxfId="14" priority="41" operator="equal">
      <formula>"Bajo"</formula>
    </cfRule>
  </conditionalFormatting>
  <conditionalFormatting sqref="Z11:Z35">
    <cfRule type="cellIs" dxfId="13" priority="14" operator="equal">
      <formula>"Muy Baja"</formula>
    </cfRule>
    <cfRule type="cellIs" dxfId="12" priority="13" operator="equal">
      <formula>"Baja"</formula>
    </cfRule>
    <cfRule type="cellIs" dxfId="11" priority="12" operator="equal">
      <formula>"Media"</formula>
    </cfRule>
    <cfRule type="cellIs" dxfId="10" priority="11" operator="equal">
      <formula>"Alta"</formula>
    </cfRule>
    <cfRule type="cellIs" dxfId="9" priority="10" operator="equal">
      <formula>"Muy Alta"</formula>
    </cfRule>
  </conditionalFormatting>
  <conditionalFormatting sqref="AB11:AB35">
    <cfRule type="cellIs" dxfId="8" priority="8" operator="equal">
      <formula>"Menor"</formula>
    </cfRule>
    <cfRule type="cellIs" dxfId="7" priority="7" operator="equal">
      <formula>"Moderado"</formula>
    </cfRule>
    <cfRule type="cellIs" dxfId="6" priority="6" operator="equal">
      <formula>"Mayor"</formula>
    </cfRule>
    <cfRule type="cellIs" dxfId="5" priority="5" operator="equal">
      <formula>"Catastrófico"</formula>
    </cfRule>
    <cfRule type="cellIs" dxfId="4" priority="9" operator="equal">
      <formula>"Leve"</formula>
    </cfRule>
  </conditionalFormatting>
  <conditionalFormatting sqref="AD11:AD35">
    <cfRule type="cellIs" dxfId="3" priority="1" operator="equal">
      <formula>"Extremo"</formula>
    </cfRule>
    <cfRule type="cellIs" dxfId="2" priority="2" operator="equal">
      <formula>"Alto"</formula>
    </cfRule>
    <cfRule type="cellIs" dxfId="1" priority="4" operator="equal">
      <formula>"Bajo"</formula>
    </cfRule>
    <cfRule type="cellIs" dxfId="0" priority="3" operator="equal">
      <formula>"Moderado"</formula>
    </cfRule>
  </conditionalFormatting>
  <pageMargins left="0.7" right="0.7" top="0.75" bottom="0.75" header="0.3" footer="0.3"/>
  <pageSetup paperSize="5" scale="16" fitToHeight="0"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AL11:AL12 AL14:AL15 AL29:AL30 AL32:AL33 AL41:AL42 AL44:AL45 AL47:AL48 AL50:AL51 AL53:AL54 AL56:AL57 AL23:AL24 AL26:AL27 AL17:AL18 AL20:AL21 AL59:AL60 AL62:AL63 AL65:AL66 AL68:AL69 AL71:AL72 AL74:AL75 AL77:AL78 AL80:AL81</xm:sqref>
        </x14:dataValidation>
        <x14:dataValidation type="list" allowBlank="1" showInputMessage="1" showErrorMessage="1" xr:uid="{00000000-0002-0000-0100-000000000000}">
          <x14:formula1>
            <xm:f>'Tabla Valoración controles'!$D$8:$D$10</xm:f>
          </x14:formula1>
          <xm:sqref>S42:S46 S48:S52 S30:S34 S11:S28 S57:S58 S60:S82</xm:sqref>
        </x14:dataValidation>
        <x14:dataValidation type="list" allowBlank="1" showInputMessage="1" showErrorMessage="1" xr:uid="{00000000-0002-0000-0100-000001000000}">
          <x14:formula1>
            <xm:f>'Tabla Valoración controles'!$D$11:$D$12</xm:f>
          </x14:formula1>
          <xm:sqref>T42:T46 T48:T52 T30:T34 T11:T28 T57:T58 T60:T82</xm:sqref>
        </x14:dataValidation>
        <x14:dataValidation type="list" allowBlank="1" showInputMessage="1" showErrorMessage="1" xr:uid="{00000000-0002-0000-0100-000002000000}">
          <x14:formula1>
            <xm:f>'Tabla Valoración controles'!$D$13:$D$14</xm:f>
          </x14:formula1>
          <xm:sqref>V42:V46 V48:V52 V30:V34 V11:V28 V57:V58 V60:V82</xm:sqref>
        </x14:dataValidation>
        <x14:dataValidation type="list" allowBlank="1" showInputMessage="1" showErrorMessage="1" xr:uid="{00000000-0002-0000-0100-000003000000}">
          <x14:formula1>
            <xm:f>'Tabla Valoración controles'!$D$15:$D$16</xm:f>
          </x14:formula1>
          <xm:sqref>W42:W46 W48:W52 W30:W34 W11:W28 W57:W58 W60:W82</xm:sqref>
        </x14:dataValidation>
        <x14:dataValidation type="list" allowBlank="1" showInputMessage="1" showErrorMessage="1" xr:uid="{00000000-0002-0000-0100-000005000000}">
          <x14:formula1>
            <xm:f>'Tabla Valoración controles'!$D$17:$D$18</xm:f>
          </x14:formula1>
          <xm:sqref>X42:X46 X48:X52 X30:X34 X11:X28 X57:X58 X60:X82</xm:sqref>
        </x14:dataValidation>
        <x14:dataValidation type="list" allowBlank="1" showInputMessage="1" showErrorMessage="1" xr:uid="{00000000-0002-0000-0100-000006000000}">
          <x14:formula1>
            <xm:f>'Opciones Tratamiento'!$B$13:$B$19</xm:f>
          </x14:formula1>
          <xm:sqref>G59:G82 G11:G34</xm:sqref>
        </x14:dataValidation>
        <x14:dataValidation type="list" allowBlank="1" showInputMessage="1" showErrorMessage="1" xr:uid="{00000000-0002-0000-0100-000007000000}">
          <x14:formula1>
            <xm:f>'Opciones Tratamiento'!$E$2:$E$4</xm:f>
          </x14:formula1>
          <xm:sqref>C11:C28 C59:C82</xm:sqref>
        </x14:dataValidation>
        <x14:dataValidation type="list" allowBlank="1" showInputMessage="1" showErrorMessage="1" xr:uid="{00000000-0002-0000-0100-000008000000}">
          <x14:formula1>
            <xm:f>'Opciones Tratamiento'!$B$2:$B$5</xm:f>
          </x14:formula1>
          <xm:sqref>AE42:AE46 AE48:AE52 AE30:AE34 AE11:AE28 AE57:AE58 AE60:AE82</xm:sqref>
        </x14:dataValidation>
        <x14:dataValidation type="list" allowBlank="1" showInputMessage="1" showErrorMessage="1" xr:uid="{00000000-0002-0000-0100-000009000000}">
          <x14:formula1>
            <xm:f>'Tabla Impacto'!$G$214:$G$225</xm:f>
          </x14:formula1>
          <xm:sqref>K11:K82</xm:sqref>
        </x14:dataValidation>
        <x14:dataValidation type="custom" allowBlank="1" showInputMessage="1" showErrorMessage="1" error="Recuerde que las acciones se generan bajo la medida de mitigar el riesgo" xr:uid="{00000000-0002-0000-0100-00000A000000}">
          <x14:formula1>
            <xm:f>IF(OR(AE11='Opciones Tratamiento'!$B$2,AE11='Opciones Tratamiento'!$B$3,AE11='Opciones Tratamiento'!$B$4),ISBLANK(AE11),ISTEXT(AE11))</xm:f>
          </x14:formula1>
          <xm:sqref>AF48:AF52 AF42:AF46 AF11 AF24:AF28 AF57:AF82 AF13:AF16 AF30:AF34 AF18:AF22</xm:sqref>
        </x14:dataValidation>
        <x14:dataValidation type="custom" allowBlank="1" showInputMessage="1" showErrorMessage="1" error="Recuerde que las acciones se generan bajo la medida de mitigar el riesgo" xr:uid="{00000000-0002-0000-0100-00000B000000}">
          <x14:formula1>
            <xm:f>IF(OR(AE11='Opciones Tratamiento'!$B$2,AE11='Opciones Tratamiento'!$B$3,AE11='Opciones Tratamiento'!$B$4),ISBLANK(AE11),ISTEXT(AE11))</xm:f>
          </x14:formula1>
          <xm:sqref>AG42:AG46 AG48:AG52 AG11 AG24:AG28 AG57:AG82 AG13:AG16 AG30:AG34 AG18:AG22</xm:sqref>
        </x14:dataValidation>
        <x14:dataValidation type="custom" allowBlank="1" showInputMessage="1" showErrorMessage="1" error="Recuerde que las acciones se generan bajo la medida de mitigar el riesgo" xr:uid="{00000000-0002-0000-0100-00000C000000}">
          <x14:formula1>
            <xm:f>IF(OR(AE11='Opciones Tratamiento'!$B$2,AE11='Opciones Tratamiento'!$B$3,AE11='Opciones Tratamiento'!$B$4),ISBLANK(AE11),ISTEXT(AE11))</xm:f>
          </x14:formula1>
          <xm:sqref>AH11:AI36 AH41:AI82</xm:sqref>
        </x14:dataValidation>
        <x14:dataValidation type="custom" allowBlank="1" showInputMessage="1" showErrorMessage="1" error="Recuerde que las acciones se generan bajo la medida de mitigar el riesgo" xr:uid="{00000000-0002-0000-0100-00000D000000}">
          <x14:formula1>
            <xm:f>IF(OR(AE11='Opciones Tratamiento'!$B$2,AE11='Opciones Tratamiento'!$B$3,AE11='Opciones Tratamiento'!$B$4),ISBLANK(AE11),ISTEXT(AE11))</xm:f>
          </x14:formula1>
          <xm:sqref>AJ41:AJ82 AJ11:AJ34</xm:sqref>
        </x14:dataValidation>
        <x14:dataValidation type="custom" allowBlank="1" showInputMessage="1" showErrorMessage="1" error="Recuerde que las acciones se generan bajo la medida de mitigar el riesgo" xr:uid="{00000000-0002-0000-0100-00000E000000}">
          <x14:formula1>
            <xm:f>IF(OR(AE11='Opciones Tratamiento'!$B$2,AE11='Opciones Tratamiento'!$B$3,AE11='Opciones Tratamiento'!$B$4),ISBLANK(AE11),ISTEXT(AE11))</xm:f>
          </x14:formula1>
          <xm:sqref>AK41:AK82 AK11:AK34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6" zoomScale="40" zoomScaleNormal="40" workbookViewId="0">
      <selection activeCell="AS97" sqref="AS97"/>
    </sheetView>
  </sheetViews>
  <sheetFormatPr baseColWidth="10" defaultColWidth="11.42578125" defaultRowHeight="15" x14ac:dyDescent="0.25"/>
  <cols>
    <col min="2" max="39" width="5.7109375" customWidth="1"/>
    <col min="41" max="46" width="5.7109375" customWidth="1"/>
  </cols>
  <sheetData>
    <row r="1" spans="1:9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row>
    <row r="2" spans="1:99" ht="18" customHeight="1" x14ac:dyDescent="0.25">
      <c r="A2" s="41"/>
      <c r="B2" s="425" t="s">
        <v>109</v>
      </c>
      <c r="C2" s="425"/>
      <c r="D2" s="425"/>
      <c r="E2" s="425"/>
      <c r="F2" s="425"/>
      <c r="G2" s="425"/>
      <c r="H2" s="425"/>
      <c r="I2" s="425"/>
      <c r="J2" s="393" t="s">
        <v>17</v>
      </c>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row>
    <row r="3" spans="1:99" ht="18.75" customHeight="1" x14ac:dyDescent="0.25">
      <c r="A3" s="41"/>
      <c r="B3" s="425"/>
      <c r="C3" s="425"/>
      <c r="D3" s="425"/>
      <c r="E3" s="425"/>
      <c r="F3" s="425"/>
      <c r="G3" s="425"/>
      <c r="H3" s="425"/>
      <c r="I3" s="425"/>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row>
    <row r="4" spans="1:99" ht="15" customHeight="1" x14ac:dyDescent="0.25">
      <c r="A4" s="41"/>
      <c r="B4" s="425"/>
      <c r="C4" s="425"/>
      <c r="D4" s="425"/>
      <c r="E4" s="425"/>
      <c r="F4" s="425"/>
      <c r="G4" s="425"/>
      <c r="H4" s="425"/>
      <c r="I4" s="425"/>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row>
    <row r="5" spans="1:9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row>
    <row r="6" spans="1:99" ht="15" customHeight="1" x14ac:dyDescent="0.25">
      <c r="A6" s="41"/>
      <c r="B6" s="340" t="s">
        <v>110</v>
      </c>
      <c r="C6" s="340"/>
      <c r="D6" s="341"/>
      <c r="E6" s="378" t="s">
        <v>111</v>
      </c>
      <c r="F6" s="379"/>
      <c r="G6" s="379"/>
      <c r="H6" s="379"/>
      <c r="I6" s="380"/>
      <c r="J6" s="389" t="str">
        <f>IF(AND('Mapa de Riesgos'!$I$11="Muy Alta",'Mapa de Riesgos'!$M$11="Leve"),CONCATENATE("R",'Mapa de Riesgos'!$A$11),"")</f>
        <v/>
      </c>
      <c r="K6" s="390"/>
      <c r="L6" s="390" t="str">
        <f>IF(AND('Mapa de Riesgos'!$I$29="Muy Alta",'Mapa de Riesgos'!$M$29="Leve"),CONCATENATE("R",'Mapa de Riesgos'!$A$29),"")</f>
        <v/>
      </c>
      <c r="M6" s="390"/>
      <c r="N6" s="390" t="str">
        <f>IF(AND('Mapa de Riesgos'!$I$35="Muy Alta",'Mapa de Riesgos'!$M$35="Leve"),CONCATENATE("R",'Mapa de Riesgos'!$A$35),"")</f>
        <v/>
      </c>
      <c r="O6" s="392"/>
      <c r="P6" s="389" t="str">
        <f>IF(AND('Mapa de Riesgos'!$I$11="Muy Alta",'Mapa de Riesgos'!$M$11="Menor"),CONCATENATE("R",'Mapa de Riesgos'!$A$11),"")</f>
        <v/>
      </c>
      <c r="Q6" s="390"/>
      <c r="R6" s="390" t="str">
        <f>IF(AND('Mapa de Riesgos'!$I$29="Muy Alta",'Mapa de Riesgos'!$M$29="Menor"),CONCATENATE("R",'Mapa de Riesgos'!$A$29),"")</f>
        <v/>
      </c>
      <c r="S6" s="390"/>
      <c r="T6" s="390" t="str">
        <f>IF(AND('Mapa de Riesgos'!$I$35="Muy Alta",'Mapa de Riesgos'!$M$35="Menor"),CONCATENATE("R",'Mapa de Riesgos'!$A$35),"")</f>
        <v/>
      </c>
      <c r="U6" s="392"/>
      <c r="V6" s="389" t="str">
        <f>IF(AND('Mapa de Riesgos'!$I$11="Muy Alta",'Mapa de Riesgos'!$M$11="Moderado"),CONCATENATE("R",'Mapa de Riesgos'!$A$11),"")</f>
        <v/>
      </c>
      <c r="W6" s="390"/>
      <c r="X6" s="390" t="str">
        <f>IF(AND('Mapa de Riesgos'!$I$29="Muy Alta",'Mapa de Riesgos'!$M$29="Moderado"),CONCATENATE("R",'Mapa de Riesgos'!$A$29),"")</f>
        <v/>
      </c>
      <c r="Y6" s="390"/>
      <c r="Z6" s="390" t="str">
        <f>IF(AND('Mapa de Riesgos'!$I$35="Muy Alta",'Mapa de Riesgos'!$M$35="Moderado"),CONCATENATE("R",'Mapa de Riesgos'!$A$35),"")</f>
        <v/>
      </c>
      <c r="AA6" s="392"/>
      <c r="AB6" s="389" t="str">
        <f>IF(AND('Mapa de Riesgos'!$I$11="Muy Alta",'Mapa de Riesgos'!$M$11="Mayor"),CONCATENATE("R",'Mapa de Riesgos'!$A$11),"")</f>
        <v/>
      </c>
      <c r="AC6" s="390"/>
      <c r="AD6" s="390" t="str">
        <f>IF(AND('Mapa de Riesgos'!$I$29="Muy Alta",'Mapa de Riesgos'!$M$29="Mayor"),CONCATENATE("R",'Mapa de Riesgos'!$A$29),"")</f>
        <v/>
      </c>
      <c r="AE6" s="390"/>
      <c r="AF6" s="390" t="str">
        <f>IF(AND('Mapa de Riesgos'!$I$35="Muy Alta",'Mapa de Riesgos'!$M$35="Mayor"),CONCATENATE("R",'Mapa de Riesgos'!$A$35),"")</f>
        <v/>
      </c>
      <c r="AG6" s="392"/>
      <c r="AH6" s="404" t="str">
        <f>IF(AND('Mapa de Riesgos'!$I$11="Muy Alta",'Mapa de Riesgos'!$M$11="Catastrófico"),CONCATENATE("R",'Mapa de Riesgos'!$A$11),"")</f>
        <v/>
      </c>
      <c r="AI6" s="405"/>
      <c r="AJ6" s="405" t="str">
        <f>IF(AND('Mapa de Riesgos'!$I$29="Muy Alta",'Mapa de Riesgos'!$M$29="Catastrófico"),CONCATENATE("R",'Mapa de Riesgos'!$A$29),"")</f>
        <v/>
      </c>
      <c r="AK6" s="405"/>
      <c r="AL6" s="405" t="str">
        <f>IF(AND('Mapa de Riesgos'!$I$35="Muy Alta",'Mapa de Riesgos'!$M$35="Catastrófico"),CONCATENATE("R",'Mapa de Riesgos'!$A$35),"")</f>
        <v/>
      </c>
      <c r="AM6" s="406"/>
      <c r="AO6" s="342" t="s">
        <v>112</v>
      </c>
      <c r="AP6" s="343"/>
      <c r="AQ6" s="343"/>
      <c r="AR6" s="343"/>
      <c r="AS6" s="343"/>
      <c r="AT6" s="344"/>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row>
    <row r="7" spans="1:99" ht="15" customHeight="1" x14ac:dyDescent="0.25">
      <c r="A7" s="41"/>
      <c r="B7" s="340"/>
      <c r="C7" s="340"/>
      <c r="D7" s="341"/>
      <c r="E7" s="381"/>
      <c r="F7" s="382"/>
      <c r="G7" s="382"/>
      <c r="H7" s="382"/>
      <c r="I7" s="383"/>
      <c r="J7" s="391"/>
      <c r="K7" s="387"/>
      <c r="L7" s="387"/>
      <c r="M7" s="387"/>
      <c r="N7" s="387"/>
      <c r="O7" s="388"/>
      <c r="P7" s="391"/>
      <c r="Q7" s="387"/>
      <c r="R7" s="387"/>
      <c r="S7" s="387"/>
      <c r="T7" s="387"/>
      <c r="U7" s="388"/>
      <c r="V7" s="391"/>
      <c r="W7" s="387"/>
      <c r="X7" s="387"/>
      <c r="Y7" s="387"/>
      <c r="Z7" s="387"/>
      <c r="AA7" s="388"/>
      <c r="AB7" s="391"/>
      <c r="AC7" s="387"/>
      <c r="AD7" s="387"/>
      <c r="AE7" s="387"/>
      <c r="AF7" s="387"/>
      <c r="AG7" s="388"/>
      <c r="AH7" s="398"/>
      <c r="AI7" s="399"/>
      <c r="AJ7" s="399"/>
      <c r="AK7" s="399"/>
      <c r="AL7" s="399"/>
      <c r="AM7" s="400"/>
      <c r="AN7" s="41"/>
      <c r="AO7" s="345"/>
      <c r="AP7" s="346"/>
      <c r="AQ7" s="346"/>
      <c r="AR7" s="346"/>
      <c r="AS7" s="346"/>
      <c r="AT7" s="347"/>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row>
    <row r="8" spans="1:99" ht="15" customHeight="1" x14ac:dyDescent="0.25">
      <c r="A8" s="41"/>
      <c r="B8" s="340"/>
      <c r="C8" s="340"/>
      <c r="D8" s="341"/>
      <c r="E8" s="381"/>
      <c r="F8" s="382"/>
      <c r="G8" s="382"/>
      <c r="H8" s="382"/>
      <c r="I8" s="383"/>
      <c r="J8" s="391" t="str">
        <f>IF(AND('Mapa de Riesgos'!$I$47="Muy Alta",'Mapa de Riesgos'!$M$47="Leve"),CONCATENATE("R",'Mapa de Riesgos'!$A$47),"")</f>
        <v/>
      </c>
      <c r="K8" s="387"/>
      <c r="L8" s="387" t="e">
        <f>IF(AND('Mapa de Riesgos'!#REF!="Muy Alta",'Mapa de Riesgos'!#REF!="Leve"),CONCATENATE("R",'Mapa de Riesgos'!#REF!),"")</f>
        <v>#REF!</v>
      </c>
      <c r="M8" s="387"/>
      <c r="N8" s="387" t="str">
        <f>IF(AND('Mapa de Riesgos'!$I$53="Muy Alta",'Mapa de Riesgos'!$M$53="Leve"),CONCATENATE("R",'Mapa de Riesgos'!$A$53),"")</f>
        <v/>
      </c>
      <c r="O8" s="388"/>
      <c r="P8" s="391" t="str">
        <f>IF(AND('Mapa de Riesgos'!$I$47="Muy Alta",'Mapa de Riesgos'!$M$47="Menor"),CONCATENATE("R",'Mapa de Riesgos'!$A$47),"")</f>
        <v/>
      </c>
      <c r="Q8" s="387"/>
      <c r="R8" s="387" t="e">
        <f>IF(AND('Mapa de Riesgos'!#REF!="Muy Alta",'Mapa de Riesgos'!#REF!="Menor"),CONCATENATE("R",'Mapa de Riesgos'!#REF!),"")</f>
        <v>#REF!</v>
      </c>
      <c r="S8" s="387"/>
      <c r="T8" s="387" t="str">
        <f>IF(AND('Mapa de Riesgos'!$I$53="Muy Alta",'Mapa de Riesgos'!$M$53="Menor"),CONCATENATE("R",'Mapa de Riesgos'!$A$53),"")</f>
        <v/>
      </c>
      <c r="U8" s="388"/>
      <c r="V8" s="391" t="str">
        <f>IF(AND('Mapa de Riesgos'!$I$47="Muy Alta",'Mapa de Riesgos'!$M$47="Moderado"),CONCATENATE("R",'Mapa de Riesgos'!$A$47),"")</f>
        <v/>
      </c>
      <c r="W8" s="387"/>
      <c r="X8" s="387" t="e">
        <f>IF(AND('Mapa de Riesgos'!#REF!="Muy Alta",'Mapa de Riesgos'!#REF!="Moderado"),CONCATENATE("R",'Mapa de Riesgos'!#REF!),"")</f>
        <v>#REF!</v>
      </c>
      <c r="Y8" s="387"/>
      <c r="Z8" s="387" t="str">
        <f>IF(AND('Mapa de Riesgos'!$I$53="Muy Alta",'Mapa de Riesgos'!$M$53="Moderado"),CONCATENATE("R",'Mapa de Riesgos'!$A$53),"")</f>
        <v/>
      </c>
      <c r="AA8" s="388"/>
      <c r="AB8" s="391" t="str">
        <f>IF(AND('Mapa de Riesgos'!$I$47="Muy Alta",'Mapa de Riesgos'!$M$47="Mayor"),CONCATENATE("R",'Mapa de Riesgos'!$A$47),"")</f>
        <v/>
      </c>
      <c r="AC8" s="387"/>
      <c r="AD8" s="387" t="e">
        <f>IF(AND('Mapa de Riesgos'!#REF!="Muy Alta",'Mapa de Riesgos'!#REF!="Mayor"),CONCATENATE("R",'Mapa de Riesgos'!#REF!),"")</f>
        <v>#REF!</v>
      </c>
      <c r="AE8" s="387"/>
      <c r="AF8" s="387" t="str">
        <f>IF(AND('Mapa de Riesgos'!$I$53="Muy Alta",'Mapa de Riesgos'!$M$53="Mayor"),CONCATENATE("R",'Mapa de Riesgos'!$A$53),"")</f>
        <v/>
      </c>
      <c r="AG8" s="388"/>
      <c r="AH8" s="398" t="str">
        <f>IF(AND('Mapa de Riesgos'!$I$47="Muy Alta",'Mapa de Riesgos'!$M$47="Catastrófico"),CONCATENATE("R",'Mapa de Riesgos'!$A$47),"")</f>
        <v/>
      </c>
      <c r="AI8" s="399"/>
      <c r="AJ8" s="399" t="e">
        <f>IF(AND('Mapa de Riesgos'!#REF!="Muy Alta",'Mapa de Riesgos'!#REF!="Catastrófico"),CONCATENATE("R",'Mapa de Riesgos'!#REF!),"")</f>
        <v>#REF!</v>
      </c>
      <c r="AK8" s="399"/>
      <c r="AL8" s="399" t="str">
        <f>IF(AND('Mapa de Riesgos'!$I$53="Muy Alta",'Mapa de Riesgos'!$M$53="Catastrófico"),CONCATENATE("R",'Mapa de Riesgos'!$A$53),"")</f>
        <v/>
      </c>
      <c r="AM8" s="400"/>
      <c r="AN8" s="41"/>
      <c r="AO8" s="345"/>
      <c r="AP8" s="346"/>
      <c r="AQ8" s="346"/>
      <c r="AR8" s="346"/>
      <c r="AS8" s="346"/>
      <c r="AT8" s="347"/>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row>
    <row r="9" spans="1:99" ht="15" customHeight="1" x14ac:dyDescent="0.25">
      <c r="A9" s="41"/>
      <c r="B9" s="340"/>
      <c r="C9" s="340"/>
      <c r="D9" s="341"/>
      <c r="E9" s="381"/>
      <c r="F9" s="382"/>
      <c r="G9" s="382"/>
      <c r="H9" s="382"/>
      <c r="I9" s="383"/>
      <c r="J9" s="391"/>
      <c r="K9" s="387"/>
      <c r="L9" s="387"/>
      <c r="M9" s="387"/>
      <c r="N9" s="387"/>
      <c r="O9" s="388"/>
      <c r="P9" s="391"/>
      <c r="Q9" s="387"/>
      <c r="R9" s="387"/>
      <c r="S9" s="387"/>
      <c r="T9" s="387"/>
      <c r="U9" s="388"/>
      <c r="V9" s="391"/>
      <c r="W9" s="387"/>
      <c r="X9" s="387"/>
      <c r="Y9" s="387"/>
      <c r="Z9" s="387"/>
      <c r="AA9" s="388"/>
      <c r="AB9" s="391"/>
      <c r="AC9" s="387"/>
      <c r="AD9" s="387"/>
      <c r="AE9" s="387"/>
      <c r="AF9" s="387"/>
      <c r="AG9" s="388"/>
      <c r="AH9" s="398"/>
      <c r="AI9" s="399"/>
      <c r="AJ9" s="399"/>
      <c r="AK9" s="399"/>
      <c r="AL9" s="399"/>
      <c r="AM9" s="400"/>
      <c r="AN9" s="41"/>
      <c r="AO9" s="345"/>
      <c r="AP9" s="346"/>
      <c r="AQ9" s="346"/>
      <c r="AR9" s="346"/>
      <c r="AS9" s="346"/>
      <c r="AT9" s="347"/>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row>
    <row r="10" spans="1:99" ht="15" customHeight="1" x14ac:dyDescent="0.25">
      <c r="A10" s="41"/>
      <c r="B10" s="340"/>
      <c r="C10" s="340"/>
      <c r="D10" s="341"/>
      <c r="E10" s="381"/>
      <c r="F10" s="382"/>
      <c r="G10" s="382"/>
      <c r="H10" s="382"/>
      <c r="I10" s="383"/>
      <c r="J10" s="391" t="str">
        <f>IF(AND('Mapa de Riesgos'!$I$23="Muy Alta",'Mapa de Riesgos'!$M$23="Leve"),CONCATENATE("R",'Mapa de Riesgos'!$A$23),"")</f>
        <v/>
      </c>
      <c r="K10" s="387"/>
      <c r="L10" s="387" t="str">
        <f>IF(AND('Mapa de Riesgos'!$I$17="Muy Alta",'Mapa de Riesgos'!$M$17="Leve"),CONCATENATE("R",'Mapa de Riesgos'!$A$17),"")</f>
        <v/>
      </c>
      <c r="M10" s="387"/>
      <c r="N10" s="387" t="str">
        <f>IF(AND('Mapa de Riesgos'!$I$59="Muy Alta",'Mapa de Riesgos'!$M$59="Leve"),CONCATENATE("R",'Mapa de Riesgos'!$A$59),"")</f>
        <v/>
      </c>
      <c r="O10" s="388"/>
      <c r="P10" s="391" t="str">
        <f>IF(AND('Mapa de Riesgos'!$I$23="Muy Alta",'Mapa de Riesgos'!$M$23="Menor"),CONCATENATE("R",'Mapa de Riesgos'!$A$23),"")</f>
        <v/>
      </c>
      <c r="Q10" s="387"/>
      <c r="R10" s="387" t="str">
        <f>IF(AND('Mapa de Riesgos'!$I$17="Muy Alta",'Mapa de Riesgos'!$M$17="Menor"),CONCATENATE("R",'Mapa de Riesgos'!$A$17),"")</f>
        <v/>
      </c>
      <c r="S10" s="387"/>
      <c r="T10" s="387" t="str">
        <f>IF(AND('Mapa de Riesgos'!$I$59="Muy Alta",'Mapa de Riesgos'!$M$59="Menor"),CONCATENATE("R",'Mapa de Riesgos'!$A$59),"")</f>
        <v/>
      </c>
      <c r="U10" s="388"/>
      <c r="V10" s="391" t="str">
        <f>IF(AND('Mapa de Riesgos'!$I$23="Muy Alta",'Mapa de Riesgos'!$M$23="Moderado"),CONCATENATE("R",'Mapa de Riesgos'!$A$23),"")</f>
        <v/>
      </c>
      <c r="W10" s="387"/>
      <c r="X10" s="387" t="str">
        <f>IF(AND('Mapa de Riesgos'!$I$17="Muy Alta",'Mapa de Riesgos'!$M$17="Moderado"),CONCATENATE("R",'Mapa de Riesgos'!$A$17),"")</f>
        <v/>
      </c>
      <c r="Y10" s="387"/>
      <c r="Z10" s="387" t="str">
        <f>IF(AND('Mapa de Riesgos'!$I$59="Muy Alta",'Mapa de Riesgos'!$M$59="Moderado"),CONCATENATE("R",'Mapa de Riesgos'!$A$59),"")</f>
        <v/>
      </c>
      <c r="AA10" s="388"/>
      <c r="AB10" s="391" t="str">
        <f>IF(AND('Mapa de Riesgos'!$I$23="Muy Alta",'Mapa de Riesgos'!$M$23="Mayor"),CONCATENATE("R",'Mapa de Riesgos'!$A$23),"")</f>
        <v/>
      </c>
      <c r="AC10" s="387"/>
      <c r="AD10" s="387" t="str">
        <f>IF(AND('Mapa de Riesgos'!$I$17="Muy Alta",'Mapa de Riesgos'!$M$17="Mayor"),CONCATENATE("R",'Mapa de Riesgos'!$A$17),"")</f>
        <v/>
      </c>
      <c r="AE10" s="387"/>
      <c r="AF10" s="387" t="str">
        <f>IF(AND('Mapa de Riesgos'!$I$59="Muy Alta",'Mapa de Riesgos'!$M$59="Mayor"),CONCATENATE("R",'Mapa de Riesgos'!$A$59),"")</f>
        <v/>
      </c>
      <c r="AG10" s="388"/>
      <c r="AH10" s="398" t="str">
        <f>IF(AND('Mapa de Riesgos'!$I$23="Muy Alta",'Mapa de Riesgos'!$M$23="Catastrófico"),CONCATENATE("R",'Mapa de Riesgos'!$A$23),"")</f>
        <v/>
      </c>
      <c r="AI10" s="399"/>
      <c r="AJ10" s="399" t="str">
        <f>IF(AND('Mapa de Riesgos'!$I$17="Muy Alta",'Mapa de Riesgos'!$M$17="Catastrófico"),CONCATENATE("R",'Mapa de Riesgos'!$A$17),"")</f>
        <v/>
      </c>
      <c r="AK10" s="399"/>
      <c r="AL10" s="399" t="str">
        <f>IF(AND('Mapa de Riesgos'!$I$59="Muy Alta",'Mapa de Riesgos'!$M$59="Catastrófico"),CONCATENATE("R",'Mapa de Riesgos'!$A$59),"")</f>
        <v/>
      </c>
      <c r="AM10" s="400"/>
      <c r="AN10" s="41"/>
      <c r="AO10" s="345"/>
      <c r="AP10" s="346"/>
      <c r="AQ10" s="346"/>
      <c r="AR10" s="346"/>
      <c r="AS10" s="346"/>
      <c r="AT10" s="347"/>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row>
    <row r="11" spans="1:99" ht="15" customHeight="1" x14ac:dyDescent="0.25">
      <c r="A11" s="41"/>
      <c r="B11" s="340"/>
      <c r="C11" s="340"/>
      <c r="D11" s="341"/>
      <c r="E11" s="381"/>
      <c r="F11" s="382"/>
      <c r="G11" s="382"/>
      <c r="H11" s="382"/>
      <c r="I11" s="383"/>
      <c r="J11" s="391"/>
      <c r="K11" s="387"/>
      <c r="L11" s="387"/>
      <c r="M11" s="387"/>
      <c r="N11" s="387"/>
      <c r="O11" s="388"/>
      <c r="P11" s="391"/>
      <c r="Q11" s="387"/>
      <c r="R11" s="387"/>
      <c r="S11" s="387"/>
      <c r="T11" s="387"/>
      <c r="U11" s="388"/>
      <c r="V11" s="391"/>
      <c r="W11" s="387"/>
      <c r="X11" s="387"/>
      <c r="Y11" s="387"/>
      <c r="Z11" s="387"/>
      <c r="AA11" s="388"/>
      <c r="AB11" s="391"/>
      <c r="AC11" s="387"/>
      <c r="AD11" s="387"/>
      <c r="AE11" s="387"/>
      <c r="AF11" s="387"/>
      <c r="AG11" s="388"/>
      <c r="AH11" s="398"/>
      <c r="AI11" s="399"/>
      <c r="AJ11" s="399"/>
      <c r="AK11" s="399"/>
      <c r="AL11" s="399"/>
      <c r="AM11" s="400"/>
      <c r="AN11" s="41"/>
      <c r="AO11" s="345"/>
      <c r="AP11" s="346"/>
      <c r="AQ11" s="346"/>
      <c r="AR11" s="346"/>
      <c r="AS11" s="346"/>
      <c r="AT11" s="347"/>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row>
    <row r="12" spans="1:99" ht="15" customHeight="1" x14ac:dyDescent="0.25">
      <c r="A12" s="41"/>
      <c r="B12" s="340"/>
      <c r="C12" s="340"/>
      <c r="D12" s="341"/>
      <c r="E12" s="381"/>
      <c r="F12" s="382"/>
      <c r="G12" s="382"/>
      <c r="H12" s="382"/>
      <c r="I12" s="383"/>
      <c r="J12" s="391" t="str">
        <f>IF(AND('Mapa de Riesgos'!$I$65="Muy Alta",'Mapa de Riesgos'!$M$65="Leve"),CONCATENATE("R",'Mapa de Riesgos'!$A$65),"")</f>
        <v/>
      </c>
      <c r="K12" s="387"/>
      <c r="L12" s="387" t="str">
        <f>IF(AND('Mapa de Riesgos'!$I$83="Muy Alta",'Mapa de Riesgos'!$M$83="Leve"),CONCATENATE("R",'Mapa de Riesgos'!$A$83),"")</f>
        <v/>
      </c>
      <c r="M12" s="387"/>
      <c r="N12" s="387" t="str">
        <f>IF(AND('Mapa de Riesgos'!$I$89="Muy Alta",'Mapa de Riesgos'!$M$89="Leve"),CONCATENATE("R",'Mapa de Riesgos'!$A$89),"")</f>
        <v/>
      </c>
      <c r="O12" s="388"/>
      <c r="P12" s="391" t="str">
        <f>IF(AND('Mapa de Riesgos'!$I$65="Muy Alta",'Mapa de Riesgos'!$M$65="Menor"),CONCATENATE("R",'Mapa de Riesgos'!$A$65),"")</f>
        <v/>
      </c>
      <c r="Q12" s="387"/>
      <c r="R12" s="387" t="str">
        <f>IF(AND('Mapa de Riesgos'!$I$83="Muy Alta",'Mapa de Riesgos'!$M$83="Menor"),CONCATENATE("R",'Mapa de Riesgos'!$A$83),"")</f>
        <v/>
      </c>
      <c r="S12" s="387"/>
      <c r="T12" s="387" t="str">
        <f>IF(AND('Mapa de Riesgos'!$I$89="Muy Alta",'Mapa de Riesgos'!$M$89="Menor"),CONCATENATE("R",'Mapa de Riesgos'!$A$89),"")</f>
        <v/>
      </c>
      <c r="U12" s="388"/>
      <c r="V12" s="391" t="str">
        <f>IF(AND('Mapa de Riesgos'!$I$65="Muy Alta",'Mapa de Riesgos'!$M$65="Moderado"),CONCATENATE("R",'Mapa de Riesgos'!$A$65),"")</f>
        <v/>
      </c>
      <c r="W12" s="387"/>
      <c r="X12" s="387" t="str">
        <f>IF(AND('Mapa de Riesgos'!$I$83="Muy Alta",'Mapa de Riesgos'!$M$83="Moderado"),CONCATENATE("R",'Mapa de Riesgos'!$A$83),"")</f>
        <v/>
      </c>
      <c r="Y12" s="387"/>
      <c r="Z12" s="387" t="str">
        <f>IF(AND('Mapa de Riesgos'!$I$89="Muy Alta",'Mapa de Riesgos'!$M$89="Moderado"),CONCATENATE("R",'Mapa de Riesgos'!$A$89),"")</f>
        <v/>
      </c>
      <c r="AA12" s="388"/>
      <c r="AB12" s="391" t="str">
        <f>IF(AND('Mapa de Riesgos'!$I$65="Muy Alta",'Mapa de Riesgos'!$M$65="Mayor"),CONCATENATE("R",'Mapa de Riesgos'!$A$65),"")</f>
        <v/>
      </c>
      <c r="AC12" s="387"/>
      <c r="AD12" s="387" t="str">
        <f>IF(AND('Mapa de Riesgos'!$I$83="Muy Alta",'Mapa de Riesgos'!$M$83="Mayor"),CONCATENATE("R",'Mapa de Riesgos'!$A$83),"")</f>
        <v/>
      </c>
      <c r="AE12" s="387"/>
      <c r="AF12" s="387" t="str">
        <f>IF(AND('Mapa de Riesgos'!$I$89="Muy Alta",'Mapa de Riesgos'!$M$89="Mayor"),CONCATENATE("R",'Mapa de Riesgos'!$A$89),"")</f>
        <v/>
      </c>
      <c r="AG12" s="388"/>
      <c r="AH12" s="398" t="str">
        <f>IF(AND('Mapa de Riesgos'!$I$65="Muy Alta",'Mapa de Riesgos'!$M$65="Catastrófico"),CONCATENATE("R",'Mapa de Riesgos'!$A$65),"")</f>
        <v/>
      </c>
      <c r="AI12" s="399"/>
      <c r="AJ12" s="399" t="str">
        <f>IF(AND('Mapa de Riesgos'!$I$83="Muy Alta",'Mapa de Riesgos'!$M$83="Catastrófico"),CONCATENATE("R",'Mapa de Riesgos'!$A$83),"")</f>
        <v/>
      </c>
      <c r="AK12" s="399"/>
      <c r="AL12" s="399" t="str">
        <f>IF(AND('Mapa de Riesgos'!$I$89="Muy Alta",'Mapa de Riesgos'!$M$89="Catastrófico"),CONCATENATE("R",'Mapa de Riesgos'!$A$89),"")</f>
        <v/>
      </c>
      <c r="AM12" s="400"/>
      <c r="AN12" s="41"/>
      <c r="AO12" s="345"/>
      <c r="AP12" s="346"/>
      <c r="AQ12" s="346"/>
      <c r="AR12" s="346"/>
      <c r="AS12" s="346"/>
      <c r="AT12" s="347"/>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row>
    <row r="13" spans="1:99" ht="15.75" customHeight="1" thickBot="1" x14ac:dyDescent="0.3">
      <c r="A13" s="41"/>
      <c r="B13" s="340"/>
      <c r="C13" s="340"/>
      <c r="D13" s="341"/>
      <c r="E13" s="384"/>
      <c r="F13" s="385"/>
      <c r="G13" s="385"/>
      <c r="H13" s="385"/>
      <c r="I13" s="386"/>
      <c r="J13" s="391"/>
      <c r="K13" s="387"/>
      <c r="L13" s="387"/>
      <c r="M13" s="387"/>
      <c r="N13" s="387"/>
      <c r="O13" s="388"/>
      <c r="P13" s="391"/>
      <c r="Q13" s="387"/>
      <c r="R13" s="387"/>
      <c r="S13" s="387"/>
      <c r="T13" s="387"/>
      <c r="U13" s="388"/>
      <c r="V13" s="391"/>
      <c r="W13" s="387"/>
      <c r="X13" s="387"/>
      <c r="Y13" s="387"/>
      <c r="Z13" s="387"/>
      <c r="AA13" s="388"/>
      <c r="AB13" s="391"/>
      <c r="AC13" s="387"/>
      <c r="AD13" s="387"/>
      <c r="AE13" s="387"/>
      <c r="AF13" s="387"/>
      <c r="AG13" s="388"/>
      <c r="AH13" s="401"/>
      <c r="AI13" s="402"/>
      <c r="AJ13" s="402"/>
      <c r="AK13" s="402"/>
      <c r="AL13" s="402"/>
      <c r="AM13" s="403"/>
      <c r="AN13" s="41"/>
      <c r="AO13" s="348"/>
      <c r="AP13" s="349"/>
      <c r="AQ13" s="349"/>
      <c r="AR13" s="349"/>
      <c r="AS13" s="349"/>
      <c r="AT13" s="350"/>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row>
    <row r="14" spans="1:99" ht="15" customHeight="1" x14ac:dyDescent="0.25">
      <c r="A14" s="41"/>
      <c r="B14" s="340"/>
      <c r="C14" s="340"/>
      <c r="D14" s="341"/>
      <c r="E14" s="378" t="s">
        <v>113</v>
      </c>
      <c r="F14" s="379"/>
      <c r="G14" s="379"/>
      <c r="H14" s="379"/>
      <c r="I14" s="379"/>
      <c r="J14" s="413" t="str">
        <f>IF(AND('Mapa de Riesgos'!$I$11="Alta",'Mapa de Riesgos'!$M$11="Leve"),CONCATENATE("R",'Mapa de Riesgos'!$A$11),"")</f>
        <v/>
      </c>
      <c r="K14" s="414"/>
      <c r="L14" s="414" t="str">
        <f>IF(AND('Mapa de Riesgos'!$I$29="Alta",'Mapa de Riesgos'!$M$29="Leve"),CONCATENATE("R",'Mapa de Riesgos'!$A$29),"")</f>
        <v/>
      </c>
      <c r="M14" s="414"/>
      <c r="N14" s="414" t="str">
        <f>IF(AND('Mapa de Riesgos'!$I$35="Alta",'Mapa de Riesgos'!$M$35="Leve"),CONCATENATE("R",'Mapa de Riesgos'!$A$35),"")</f>
        <v/>
      </c>
      <c r="O14" s="415"/>
      <c r="P14" s="413" t="str">
        <f>IF(AND('Mapa de Riesgos'!$I$11="Alta",'Mapa de Riesgos'!$M$11="Menor"),CONCATENATE("R",'Mapa de Riesgos'!$A$11),"")</f>
        <v/>
      </c>
      <c r="Q14" s="414"/>
      <c r="R14" s="414" t="str">
        <f>IF(AND('Mapa de Riesgos'!$I$29="Alta",'Mapa de Riesgos'!$M$29="Menor"),CONCATENATE("R",'Mapa de Riesgos'!$A$29),"")</f>
        <v/>
      </c>
      <c r="S14" s="414"/>
      <c r="T14" s="414" t="str">
        <f>IF(AND('Mapa de Riesgos'!$I$35="Alta",'Mapa de Riesgos'!$M$35="Menor"),CONCATENATE("R",'Mapa de Riesgos'!$A$35),"")</f>
        <v/>
      </c>
      <c r="U14" s="415"/>
      <c r="V14" s="389" t="str">
        <f>IF(AND('Mapa de Riesgos'!$I$11="Alta",'Mapa de Riesgos'!$M$11="Moderado"),CONCATENATE("R",'Mapa de Riesgos'!$A$11),"")</f>
        <v/>
      </c>
      <c r="W14" s="390"/>
      <c r="X14" s="390" t="str">
        <f>IF(AND('Mapa de Riesgos'!$I$29="Alta",'Mapa de Riesgos'!$M$29="Moderado"),CONCATENATE("R",'Mapa de Riesgos'!$A$29),"")</f>
        <v/>
      </c>
      <c r="Y14" s="390"/>
      <c r="Z14" s="390" t="str">
        <f>IF(AND('Mapa de Riesgos'!$I$35="Alta",'Mapa de Riesgos'!$M$35="Moderado"),CONCATENATE("R",'Mapa de Riesgos'!$A$35),"")</f>
        <v/>
      </c>
      <c r="AA14" s="392"/>
      <c r="AB14" s="389" t="str">
        <f>IF(AND('Mapa de Riesgos'!$I$11="Alta",'Mapa de Riesgos'!$M$11="Mayor"),CONCATENATE("R",'Mapa de Riesgos'!$A$11),"")</f>
        <v/>
      </c>
      <c r="AC14" s="390"/>
      <c r="AD14" s="390" t="str">
        <f>IF(AND('Mapa de Riesgos'!$I$29="Alta",'Mapa de Riesgos'!$M$29="Mayor"),CONCATENATE("R",'Mapa de Riesgos'!$A$29),"")</f>
        <v/>
      </c>
      <c r="AE14" s="390"/>
      <c r="AF14" s="390" t="str">
        <f>IF(AND('Mapa de Riesgos'!$I$35="Alta",'Mapa de Riesgos'!$M$35="Mayor"),CONCATENATE("R",'Mapa de Riesgos'!$A$35),"")</f>
        <v/>
      </c>
      <c r="AG14" s="392"/>
      <c r="AH14" s="404" t="str">
        <f>IF(AND('Mapa de Riesgos'!$I$11="Alta",'Mapa de Riesgos'!$M$11="Catastrófico"),CONCATENATE("R",'Mapa de Riesgos'!$A$11),"")</f>
        <v/>
      </c>
      <c r="AI14" s="405"/>
      <c r="AJ14" s="405" t="str">
        <f>IF(AND('Mapa de Riesgos'!$I$29="Alta",'Mapa de Riesgos'!$M$29="Catastrófico"),CONCATENATE("R",'Mapa de Riesgos'!$A$29),"")</f>
        <v/>
      </c>
      <c r="AK14" s="405"/>
      <c r="AL14" s="405" t="str">
        <f>IF(AND('Mapa de Riesgos'!$I$35="Alta",'Mapa de Riesgos'!$M$35="Catastrófico"),CONCATENATE("R",'Mapa de Riesgos'!$A$35),"")</f>
        <v/>
      </c>
      <c r="AM14" s="406"/>
      <c r="AN14" s="41"/>
      <c r="AO14" s="351" t="s">
        <v>114</v>
      </c>
      <c r="AP14" s="352"/>
      <c r="AQ14" s="352"/>
      <c r="AR14" s="352"/>
      <c r="AS14" s="352"/>
      <c r="AT14" s="353"/>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row>
    <row r="15" spans="1:99" ht="15" customHeight="1" x14ac:dyDescent="0.25">
      <c r="A15" s="41"/>
      <c r="B15" s="340"/>
      <c r="C15" s="340"/>
      <c r="D15" s="341"/>
      <c r="E15" s="381"/>
      <c r="F15" s="382"/>
      <c r="G15" s="382"/>
      <c r="H15" s="382"/>
      <c r="I15" s="382"/>
      <c r="J15" s="407"/>
      <c r="K15" s="408"/>
      <c r="L15" s="408"/>
      <c r="M15" s="408"/>
      <c r="N15" s="408"/>
      <c r="O15" s="409"/>
      <c r="P15" s="407"/>
      <c r="Q15" s="408"/>
      <c r="R15" s="408"/>
      <c r="S15" s="408"/>
      <c r="T15" s="408"/>
      <c r="U15" s="409"/>
      <c r="V15" s="391"/>
      <c r="W15" s="387"/>
      <c r="X15" s="387"/>
      <c r="Y15" s="387"/>
      <c r="Z15" s="387"/>
      <c r="AA15" s="388"/>
      <c r="AB15" s="391"/>
      <c r="AC15" s="387"/>
      <c r="AD15" s="387"/>
      <c r="AE15" s="387"/>
      <c r="AF15" s="387"/>
      <c r="AG15" s="388"/>
      <c r="AH15" s="398"/>
      <c r="AI15" s="399"/>
      <c r="AJ15" s="399"/>
      <c r="AK15" s="399"/>
      <c r="AL15" s="399"/>
      <c r="AM15" s="400"/>
      <c r="AN15" s="41"/>
      <c r="AO15" s="354"/>
      <c r="AP15" s="355"/>
      <c r="AQ15" s="355"/>
      <c r="AR15" s="355"/>
      <c r="AS15" s="355"/>
      <c r="AT15" s="356"/>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row>
    <row r="16" spans="1:99" ht="15" customHeight="1" x14ac:dyDescent="0.25">
      <c r="A16" s="41"/>
      <c r="B16" s="340"/>
      <c r="C16" s="340"/>
      <c r="D16" s="341"/>
      <c r="E16" s="381"/>
      <c r="F16" s="382"/>
      <c r="G16" s="382"/>
      <c r="H16" s="382"/>
      <c r="I16" s="382"/>
      <c r="J16" s="407" t="str">
        <f>IF(AND('Mapa de Riesgos'!$I$47="Alta",'Mapa de Riesgos'!$M$47="Leve"),CONCATENATE("R",'Mapa de Riesgos'!$A$47),"")</f>
        <v/>
      </c>
      <c r="K16" s="408"/>
      <c r="L16" s="408" t="e">
        <f>IF(AND('Mapa de Riesgos'!#REF!="Alta",'Mapa de Riesgos'!#REF!="Leve"),CONCATENATE("R",'Mapa de Riesgos'!#REF!),"")</f>
        <v>#REF!</v>
      </c>
      <c r="M16" s="408"/>
      <c r="N16" s="408" t="str">
        <f>IF(AND('Mapa de Riesgos'!$I$53="Alta",'Mapa de Riesgos'!$M$53="Leve"),CONCATENATE("R",'Mapa de Riesgos'!$A$53),"")</f>
        <v/>
      </c>
      <c r="O16" s="409"/>
      <c r="P16" s="407" t="str">
        <f>IF(AND('Mapa de Riesgos'!$I$47="Alta",'Mapa de Riesgos'!$M$47="Menor"),CONCATENATE("R",'Mapa de Riesgos'!$A$47),"")</f>
        <v/>
      </c>
      <c r="Q16" s="408"/>
      <c r="R16" s="408" t="e">
        <f>IF(AND('Mapa de Riesgos'!#REF!="Alta",'Mapa de Riesgos'!#REF!="Menor"),CONCATENATE("R",'Mapa de Riesgos'!#REF!),"")</f>
        <v>#REF!</v>
      </c>
      <c r="S16" s="408"/>
      <c r="T16" s="408" t="str">
        <f>IF(AND('Mapa de Riesgos'!$I$53="Alta",'Mapa de Riesgos'!$M$53="Menor"),CONCATENATE("R",'Mapa de Riesgos'!$A$53),"")</f>
        <v/>
      </c>
      <c r="U16" s="409"/>
      <c r="V16" s="391" t="str">
        <f>IF(AND('Mapa de Riesgos'!$I$47="Alta",'Mapa de Riesgos'!$M$47="Moderado"),CONCATENATE("R",'Mapa de Riesgos'!$A$47),"")</f>
        <v/>
      </c>
      <c r="W16" s="387"/>
      <c r="X16" s="387" t="e">
        <f>IF(AND('Mapa de Riesgos'!#REF!="Alta",'Mapa de Riesgos'!#REF!="Moderado"),CONCATENATE("R",'Mapa de Riesgos'!#REF!),"")</f>
        <v>#REF!</v>
      </c>
      <c r="Y16" s="387"/>
      <c r="Z16" s="387" t="str">
        <f>IF(AND('Mapa de Riesgos'!$I$53="Alta",'Mapa de Riesgos'!$M$53="Moderado"),CONCATENATE("R",'Mapa de Riesgos'!$A$53),"")</f>
        <v/>
      </c>
      <c r="AA16" s="388"/>
      <c r="AB16" s="391" t="str">
        <f>IF(AND('Mapa de Riesgos'!$I$47="Alta",'Mapa de Riesgos'!$M$47="Mayor"),CONCATENATE("R",'Mapa de Riesgos'!$A$47),"")</f>
        <v/>
      </c>
      <c r="AC16" s="387"/>
      <c r="AD16" s="387" t="e">
        <f>IF(AND('Mapa de Riesgos'!#REF!="Alta",'Mapa de Riesgos'!#REF!="Mayor"),CONCATENATE("R",'Mapa de Riesgos'!#REF!),"")</f>
        <v>#REF!</v>
      </c>
      <c r="AE16" s="387"/>
      <c r="AF16" s="387" t="str">
        <f>IF(AND('Mapa de Riesgos'!$I$53="Alta",'Mapa de Riesgos'!$M$53="Mayor"),CONCATENATE("R",'Mapa de Riesgos'!$A$53),"")</f>
        <v/>
      </c>
      <c r="AG16" s="388"/>
      <c r="AH16" s="398" t="str">
        <f>IF(AND('Mapa de Riesgos'!$I$47="Alta",'Mapa de Riesgos'!$M$47="Catastrófico"),CONCATENATE("R",'Mapa de Riesgos'!$A$47),"")</f>
        <v/>
      </c>
      <c r="AI16" s="399"/>
      <c r="AJ16" s="399" t="e">
        <f>IF(AND('Mapa de Riesgos'!#REF!="Alta",'Mapa de Riesgos'!#REF!="Catastrófico"),CONCATENATE("R",'Mapa de Riesgos'!#REF!),"")</f>
        <v>#REF!</v>
      </c>
      <c r="AK16" s="399"/>
      <c r="AL16" s="399" t="str">
        <f>IF(AND('Mapa de Riesgos'!$I$53="Alta",'Mapa de Riesgos'!$M$53="Catastrófico"),CONCATENATE("R",'Mapa de Riesgos'!$A$53),"")</f>
        <v/>
      </c>
      <c r="AM16" s="400"/>
      <c r="AN16" s="41"/>
      <c r="AO16" s="354"/>
      <c r="AP16" s="355"/>
      <c r="AQ16" s="355"/>
      <c r="AR16" s="355"/>
      <c r="AS16" s="355"/>
      <c r="AT16" s="356"/>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row>
    <row r="17" spans="1:80" ht="15" customHeight="1" x14ac:dyDescent="0.25">
      <c r="A17" s="41"/>
      <c r="B17" s="340"/>
      <c r="C17" s="340"/>
      <c r="D17" s="341"/>
      <c r="E17" s="381"/>
      <c r="F17" s="382"/>
      <c r="G17" s="382"/>
      <c r="H17" s="382"/>
      <c r="I17" s="382"/>
      <c r="J17" s="407"/>
      <c r="K17" s="408"/>
      <c r="L17" s="408"/>
      <c r="M17" s="408"/>
      <c r="N17" s="408"/>
      <c r="O17" s="409"/>
      <c r="P17" s="407"/>
      <c r="Q17" s="408"/>
      <c r="R17" s="408"/>
      <c r="S17" s="408"/>
      <c r="T17" s="408"/>
      <c r="U17" s="409"/>
      <c r="V17" s="391"/>
      <c r="W17" s="387"/>
      <c r="X17" s="387"/>
      <c r="Y17" s="387"/>
      <c r="Z17" s="387"/>
      <c r="AA17" s="388"/>
      <c r="AB17" s="391"/>
      <c r="AC17" s="387"/>
      <c r="AD17" s="387"/>
      <c r="AE17" s="387"/>
      <c r="AF17" s="387"/>
      <c r="AG17" s="388"/>
      <c r="AH17" s="398"/>
      <c r="AI17" s="399"/>
      <c r="AJ17" s="399"/>
      <c r="AK17" s="399"/>
      <c r="AL17" s="399"/>
      <c r="AM17" s="400"/>
      <c r="AN17" s="41"/>
      <c r="AO17" s="354"/>
      <c r="AP17" s="355"/>
      <c r="AQ17" s="355"/>
      <c r="AR17" s="355"/>
      <c r="AS17" s="355"/>
      <c r="AT17" s="356"/>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row>
    <row r="18" spans="1:80" ht="15" customHeight="1" x14ac:dyDescent="0.25">
      <c r="A18" s="41"/>
      <c r="B18" s="340"/>
      <c r="C18" s="340"/>
      <c r="D18" s="341"/>
      <c r="E18" s="381"/>
      <c r="F18" s="382"/>
      <c r="G18" s="382"/>
      <c r="H18" s="382"/>
      <c r="I18" s="382"/>
      <c r="J18" s="407" t="str">
        <f>IF(AND('Mapa de Riesgos'!$I$23="Alta",'Mapa de Riesgos'!$M$23="Leve"),CONCATENATE("R",'Mapa de Riesgos'!$A$23),"")</f>
        <v/>
      </c>
      <c r="K18" s="408"/>
      <c r="L18" s="408" t="str">
        <f>IF(AND('Mapa de Riesgos'!$I$17="Alta",'Mapa de Riesgos'!$M$17="Leve"),CONCATENATE("R",'Mapa de Riesgos'!$A$17),"")</f>
        <v/>
      </c>
      <c r="M18" s="408"/>
      <c r="N18" s="408" t="str">
        <f>IF(AND('Mapa de Riesgos'!$I$59="Alta",'Mapa de Riesgos'!$M$59="Leve"),CONCATENATE("R",'Mapa de Riesgos'!$A$59),"")</f>
        <v/>
      </c>
      <c r="O18" s="409"/>
      <c r="P18" s="407" t="str">
        <f>IF(AND('Mapa de Riesgos'!$I$23="Alta",'Mapa de Riesgos'!$M$23="Menor"),CONCATENATE("R",'Mapa de Riesgos'!$A$23),"")</f>
        <v/>
      </c>
      <c r="Q18" s="408"/>
      <c r="R18" s="408" t="str">
        <f>IF(AND('Mapa de Riesgos'!$I$17="Alta",'Mapa de Riesgos'!$M$17="Menor"),CONCATENATE("R",'Mapa de Riesgos'!$A$17),"")</f>
        <v/>
      </c>
      <c r="S18" s="408"/>
      <c r="T18" s="408" t="str">
        <f>IF(AND('Mapa de Riesgos'!$I$59="Alta",'Mapa de Riesgos'!$M$59="Menor"),CONCATENATE("R",'Mapa de Riesgos'!$A$59),"")</f>
        <v/>
      </c>
      <c r="U18" s="409"/>
      <c r="V18" s="391" t="str">
        <f>IF(AND('Mapa de Riesgos'!$I$23="Alta",'Mapa de Riesgos'!$M$23="Moderado"),CONCATENATE("R",'Mapa de Riesgos'!$A$23),"")</f>
        <v/>
      </c>
      <c r="W18" s="387"/>
      <c r="X18" s="387" t="str">
        <f>IF(AND('Mapa de Riesgos'!$I$17="Alta",'Mapa de Riesgos'!$M$17="Moderado"),CONCATENATE("R",'Mapa de Riesgos'!$A$17),"")</f>
        <v/>
      </c>
      <c r="Y18" s="387"/>
      <c r="Z18" s="387" t="str">
        <f>IF(AND('Mapa de Riesgos'!$I$59="Alta",'Mapa de Riesgos'!$M$59="Moderado"),CONCATENATE("R",'Mapa de Riesgos'!$A$59),"")</f>
        <v/>
      </c>
      <c r="AA18" s="388"/>
      <c r="AB18" s="391" t="str">
        <f>IF(AND('Mapa de Riesgos'!$I$23="Alta",'Mapa de Riesgos'!$M$23="Mayor"),CONCATENATE("R",'Mapa de Riesgos'!$A$23),"")</f>
        <v/>
      </c>
      <c r="AC18" s="387"/>
      <c r="AD18" s="387" t="str">
        <f>IF(AND('Mapa de Riesgos'!$I$17="Alta",'Mapa de Riesgos'!$M$17="Mayor"),CONCATENATE("R",'Mapa de Riesgos'!$A$17),"")</f>
        <v/>
      </c>
      <c r="AE18" s="387"/>
      <c r="AF18" s="387" t="str">
        <f>IF(AND('Mapa de Riesgos'!$I$59="Alta",'Mapa de Riesgos'!$M$59="Mayor"),CONCATENATE("R",'Mapa de Riesgos'!$A$59),"")</f>
        <v/>
      </c>
      <c r="AG18" s="388"/>
      <c r="AH18" s="398" t="str">
        <f>IF(AND('Mapa de Riesgos'!$I$23="Alta",'Mapa de Riesgos'!$M$23="Catastrófico"),CONCATENATE("R",'Mapa de Riesgos'!$A$23),"")</f>
        <v/>
      </c>
      <c r="AI18" s="399"/>
      <c r="AJ18" s="399" t="str">
        <f>IF(AND('Mapa de Riesgos'!$I$17="Alta",'Mapa de Riesgos'!$M$17="Catastrófico"),CONCATENATE("R",'Mapa de Riesgos'!$A$17),"")</f>
        <v/>
      </c>
      <c r="AK18" s="399"/>
      <c r="AL18" s="399" t="str">
        <f>IF(AND('Mapa de Riesgos'!$I$59="Alta",'Mapa de Riesgos'!$M$59="Catastrófico"),CONCATENATE("R",'Mapa de Riesgos'!$A$59),"")</f>
        <v/>
      </c>
      <c r="AM18" s="400"/>
      <c r="AN18" s="41"/>
      <c r="AO18" s="354"/>
      <c r="AP18" s="355"/>
      <c r="AQ18" s="355"/>
      <c r="AR18" s="355"/>
      <c r="AS18" s="355"/>
      <c r="AT18" s="356"/>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row>
    <row r="19" spans="1:80" ht="15" customHeight="1" x14ac:dyDescent="0.25">
      <c r="A19" s="41"/>
      <c r="B19" s="340"/>
      <c r="C19" s="340"/>
      <c r="D19" s="341"/>
      <c r="E19" s="381"/>
      <c r="F19" s="382"/>
      <c r="G19" s="382"/>
      <c r="H19" s="382"/>
      <c r="I19" s="382"/>
      <c r="J19" s="407"/>
      <c r="K19" s="408"/>
      <c r="L19" s="408"/>
      <c r="M19" s="408"/>
      <c r="N19" s="408"/>
      <c r="O19" s="409"/>
      <c r="P19" s="407"/>
      <c r="Q19" s="408"/>
      <c r="R19" s="408"/>
      <c r="S19" s="408"/>
      <c r="T19" s="408"/>
      <c r="U19" s="409"/>
      <c r="V19" s="391"/>
      <c r="W19" s="387"/>
      <c r="X19" s="387"/>
      <c r="Y19" s="387"/>
      <c r="Z19" s="387"/>
      <c r="AA19" s="388"/>
      <c r="AB19" s="391"/>
      <c r="AC19" s="387"/>
      <c r="AD19" s="387"/>
      <c r="AE19" s="387"/>
      <c r="AF19" s="387"/>
      <c r="AG19" s="388"/>
      <c r="AH19" s="398"/>
      <c r="AI19" s="399"/>
      <c r="AJ19" s="399"/>
      <c r="AK19" s="399"/>
      <c r="AL19" s="399"/>
      <c r="AM19" s="400"/>
      <c r="AN19" s="41"/>
      <c r="AO19" s="354"/>
      <c r="AP19" s="355"/>
      <c r="AQ19" s="355"/>
      <c r="AR19" s="355"/>
      <c r="AS19" s="355"/>
      <c r="AT19" s="356"/>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row>
    <row r="20" spans="1:80" ht="15" customHeight="1" x14ac:dyDescent="0.25">
      <c r="A20" s="41"/>
      <c r="B20" s="340"/>
      <c r="C20" s="340"/>
      <c r="D20" s="341"/>
      <c r="E20" s="381"/>
      <c r="F20" s="382"/>
      <c r="G20" s="382"/>
      <c r="H20" s="382"/>
      <c r="I20" s="382"/>
      <c r="J20" s="407" t="str">
        <f>IF(AND('Mapa de Riesgos'!$I$65="Alta",'Mapa de Riesgos'!$M$65="Leve"),CONCATENATE("R",'Mapa de Riesgos'!$A$65),"")</f>
        <v/>
      </c>
      <c r="K20" s="408"/>
      <c r="L20" s="408" t="str">
        <f>IF(AND('Mapa de Riesgos'!$I$83="Alta",'Mapa de Riesgos'!$M$83="Leve"),CONCATENATE("R",'Mapa de Riesgos'!$A$83),"")</f>
        <v/>
      </c>
      <c r="M20" s="408"/>
      <c r="N20" s="408" t="str">
        <f>IF(AND('Mapa de Riesgos'!$I$89="Alta",'Mapa de Riesgos'!$M$89="Leve"),CONCATENATE("R",'Mapa de Riesgos'!$A$89),"")</f>
        <v/>
      </c>
      <c r="O20" s="409"/>
      <c r="P20" s="407" t="str">
        <f>IF(AND('Mapa de Riesgos'!$I$65="Alta",'Mapa de Riesgos'!$M$65="Menor"),CONCATENATE("R",'Mapa de Riesgos'!$A$65),"")</f>
        <v/>
      </c>
      <c r="Q20" s="408"/>
      <c r="R20" s="408" t="str">
        <f>IF(AND('Mapa de Riesgos'!$I$83="Alta",'Mapa de Riesgos'!$M$83="Menor"),CONCATENATE("R",'Mapa de Riesgos'!$A$83),"")</f>
        <v/>
      </c>
      <c r="S20" s="408"/>
      <c r="T20" s="408" t="str">
        <f>IF(AND('Mapa de Riesgos'!$I$89="Alta",'Mapa de Riesgos'!$M$89="Menor"),CONCATENATE("R",'Mapa de Riesgos'!$A$89),"")</f>
        <v/>
      </c>
      <c r="U20" s="409"/>
      <c r="V20" s="391" t="str">
        <f>IF(AND('Mapa de Riesgos'!$I$65="Alta",'Mapa de Riesgos'!$M$65="Moderado"),CONCATENATE("R",'Mapa de Riesgos'!$A$65),"")</f>
        <v/>
      </c>
      <c r="W20" s="387"/>
      <c r="X20" s="387" t="str">
        <f>IF(AND('Mapa de Riesgos'!$I$83="Alta",'Mapa de Riesgos'!$M$83="Moderado"),CONCATENATE("R",'Mapa de Riesgos'!$A$83),"")</f>
        <v/>
      </c>
      <c r="Y20" s="387"/>
      <c r="Z20" s="387" t="str">
        <f>IF(AND('Mapa de Riesgos'!$I$89="Alta",'Mapa de Riesgos'!$M$89="Moderado"),CONCATENATE("R",'Mapa de Riesgos'!$A$89),"")</f>
        <v/>
      </c>
      <c r="AA20" s="388"/>
      <c r="AB20" s="391" t="str">
        <f>IF(AND('Mapa de Riesgos'!$I$65="Alta",'Mapa de Riesgos'!$M$65="Mayor"),CONCATENATE("R",'Mapa de Riesgos'!$A$65),"")</f>
        <v/>
      </c>
      <c r="AC20" s="387"/>
      <c r="AD20" s="387" t="str">
        <f>IF(AND('Mapa de Riesgos'!$I$83="Alta",'Mapa de Riesgos'!$M$83="Mayor"),CONCATENATE("R",'Mapa de Riesgos'!$A$83),"")</f>
        <v/>
      </c>
      <c r="AE20" s="387"/>
      <c r="AF20" s="387" t="str">
        <f>IF(AND('Mapa de Riesgos'!$I$89="Alta",'Mapa de Riesgos'!$M$89="Mayor"),CONCATENATE("R",'Mapa de Riesgos'!$A$89),"")</f>
        <v/>
      </c>
      <c r="AG20" s="388"/>
      <c r="AH20" s="398" t="str">
        <f>IF(AND('Mapa de Riesgos'!$I$65="Alta",'Mapa de Riesgos'!$M$65="Catastrófico"),CONCATENATE("R",'Mapa de Riesgos'!$A$65),"")</f>
        <v/>
      </c>
      <c r="AI20" s="399"/>
      <c r="AJ20" s="399" t="str">
        <f>IF(AND('Mapa de Riesgos'!$I$83="Alta",'Mapa de Riesgos'!$M$83="Catastrófico"),CONCATENATE("R",'Mapa de Riesgos'!$A$83),"")</f>
        <v/>
      </c>
      <c r="AK20" s="399"/>
      <c r="AL20" s="399" t="str">
        <f>IF(AND('Mapa de Riesgos'!$I$89="Alta",'Mapa de Riesgos'!$M$89="Catastrófico"),CONCATENATE("R",'Mapa de Riesgos'!$A$89),"")</f>
        <v/>
      </c>
      <c r="AM20" s="400"/>
      <c r="AN20" s="41"/>
      <c r="AO20" s="354"/>
      <c r="AP20" s="355"/>
      <c r="AQ20" s="355"/>
      <c r="AR20" s="355"/>
      <c r="AS20" s="355"/>
      <c r="AT20" s="356"/>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row>
    <row r="21" spans="1:80" ht="15.75" customHeight="1" thickBot="1" x14ac:dyDescent="0.3">
      <c r="A21" s="41"/>
      <c r="B21" s="340"/>
      <c r="C21" s="340"/>
      <c r="D21" s="341"/>
      <c r="E21" s="384"/>
      <c r="F21" s="385"/>
      <c r="G21" s="385"/>
      <c r="H21" s="385"/>
      <c r="I21" s="385"/>
      <c r="J21" s="410"/>
      <c r="K21" s="411"/>
      <c r="L21" s="411"/>
      <c r="M21" s="411"/>
      <c r="N21" s="411"/>
      <c r="O21" s="412"/>
      <c r="P21" s="410"/>
      <c r="Q21" s="411"/>
      <c r="R21" s="411"/>
      <c r="S21" s="411"/>
      <c r="T21" s="411"/>
      <c r="U21" s="412"/>
      <c r="V21" s="395"/>
      <c r="W21" s="396"/>
      <c r="X21" s="396"/>
      <c r="Y21" s="396"/>
      <c r="Z21" s="396"/>
      <c r="AA21" s="397"/>
      <c r="AB21" s="395"/>
      <c r="AC21" s="396"/>
      <c r="AD21" s="396"/>
      <c r="AE21" s="396"/>
      <c r="AF21" s="396"/>
      <c r="AG21" s="397"/>
      <c r="AH21" s="401"/>
      <c r="AI21" s="402"/>
      <c r="AJ21" s="402"/>
      <c r="AK21" s="402"/>
      <c r="AL21" s="402"/>
      <c r="AM21" s="403"/>
      <c r="AN21" s="41"/>
      <c r="AO21" s="357"/>
      <c r="AP21" s="358"/>
      <c r="AQ21" s="358"/>
      <c r="AR21" s="358"/>
      <c r="AS21" s="358"/>
      <c r="AT21" s="359"/>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row>
    <row r="22" spans="1:80" x14ac:dyDescent="0.25">
      <c r="A22" s="41"/>
      <c r="B22" s="340"/>
      <c r="C22" s="340"/>
      <c r="D22" s="341"/>
      <c r="E22" s="378" t="s">
        <v>115</v>
      </c>
      <c r="F22" s="379"/>
      <c r="G22" s="379"/>
      <c r="H22" s="379"/>
      <c r="I22" s="380"/>
      <c r="J22" s="413" t="str">
        <f>IF(AND('Mapa de Riesgos'!$I$11="Media",'Mapa de Riesgos'!$M$11="Leve"),CONCATENATE("R",'Mapa de Riesgos'!$A$11),"")</f>
        <v/>
      </c>
      <c r="K22" s="414"/>
      <c r="L22" s="414" t="str">
        <f>IF(AND('Mapa de Riesgos'!$I$29="Media",'Mapa de Riesgos'!$M$29="Leve"),CONCATENATE("R",'Mapa de Riesgos'!$A$29),"")</f>
        <v/>
      </c>
      <c r="M22" s="414"/>
      <c r="N22" s="414" t="str">
        <f>IF(AND('Mapa de Riesgos'!$I$35="Media",'Mapa de Riesgos'!$M$35="Leve"),CONCATENATE("R",'Mapa de Riesgos'!$A$35),"")</f>
        <v/>
      </c>
      <c r="O22" s="415"/>
      <c r="P22" s="413" t="str">
        <f>IF(AND('Mapa de Riesgos'!$I$11="Media",'Mapa de Riesgos'!$M$11="Menor"),CONCATENATE("R",'Mapa de Riesgos'!$A$11),"")</f>
        <v/>
      </c>
      <c r="Q22" s="414"/>
      <c r="R22" s="414" t="str">
        <f>IF(AND('Mapa de Riesgos'!$I$29="Media",'Mapa de Riesgos'!$M$29="Menor"),CONCATENATE("R",'Mapa de Riesgos'!$A$29),"")</f>
        <v/>
      </c>
      <c r="S22" s="414"/>
      <c r="T22" s="414" t="str">
        <f>IF(AND('Mapa de Riesgos'!$I$35="Media",'Mapa de Riesgos'!$M$35="Menor"),CONCATENATE("R",'Mapa de Riesgos'!$A$35),"")</f>
        <v/>
      </c>
      <c r="U22" s="415"/>
      <c r="V22" s="413" t="str">
        <f>IF(AND('Mapa de Riesgos'!$I$11="Media",'Mapa de Riesgos'!$M$11="Moderado"),CONCATENATE("R",'Mapa de Riesgos'!$A$11),"")</f>
        <v/>
      </c>
      <c r="W22" s="414"/>
      <c r="X22" s="414" t="str">
        <f>IF(AND('Mapa de Riesgos'!$I$29="Media",'Mapa de Riesgos'!$M$29="Moderado"),CONCATENATE("R",'Mapa de Riesgos'!$A$29),"")</f>
        <v/>
      </c>
      <c r="Y22" s="414"/>
      <c r="Z22" s="414" t="str">
        <f>IF(AND('Mapa de Riesgos'!$I$35="Media",'Mapa de Riesgos'!$M$35="Moderado"),CONCATENATE("R",'Mapa de Riesgos'!$A$35),"")</f>
        <v/>
      </c>
      <c r="AA22" s="415"/>
      <c r="AB22" s="389" t="str">
        <f>IF(AND('Mapa de Riesgos'!$I$11="Media",'Mapa de Riesgos'!$M$11="Mayor"),CONCATENATE("R",'Mapa de Riesgos'!$A$11),"")</f>
        <v/>
      </c>
      <c r="AC22" s="390"/>
      <c r="AD22" s="390" t="str">
        <f>IF(AND('Mapa de Riesgos'!$I$29="Media",'Mapa de Riesgos'!$M$29="Mayor"),CONCATENATE("R",'Mapa de Riesgos'!$A$29),"")</f>
        <v/>
      </c>
      <c r="AE22" s="390"/>
      <c r="AF22" s="390" t="str">
        <f>IF(AND('Mapa de Riesgos'!$I$35="Media",'Mapa de Riesgos'!$M$35="Mayor"),CONCATENATE("R",'Mapa de Riesgos'!$A$35),"")</f>
        <v/>
      </c>
      <c r="AG22" s="392"/>
      <c r="AH22" s="404" t="str">
        <f>IF(AND('Mapa de Riesgos'!$I$11="Media",'Mapa de Riesgos'!$M$11="Catastrófico"),CONCATENATE("R",'Mapa de Riesgos'!$A$11),"")</f>
        <v/>
      </c>
      <c r="AI22" s="405"/>
      <c r="AJ22" s="405" t="str">
        <f>IF(AND('Mapa de Riesgos'!$I$29="Media",'Mapa de Riesgos'!$M$29="Catastrófico"),CONCATENATE("R",'Mapa de Riesgos'!$A$29),"")</f>
        <v/>
      </c>
      <c r="AK22" s="405"/>
      <c r="AL22" s="405" t="str">
        <f>IF(AND('Mapa de Riesgos'!$I$35="Media",'Mapa de Riesgos'!$M$35="Catastrófico"),CONCATENATE("R",'Mapa de Riesgos'!$A$35),"")</f>
        <v/>
      </c>
      <c r="AM22" s="406"/>
      <c r="AN22" s="41"/>
      <c r="AO22" s="360" t="s">
        <v>116</v>
      </c>
      <c r="AP22" s="361"/>
      <c r="AQ22" s="361"/>
      <c r="AR22" s="361"/>
      <c r="AS22" s="361"/>
      <c r="AT22" s="362"/>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row>
    <row r="23" spans="1:80" x14ac:dyDescent="0.25">
      <c r="A23" s="41"/>
      <c r="B23" s="340"/>
      <c r="C23" s="340"/>
      <c r="D23" s="341"/>
      <c r="E23" s="381"/>
      <c r="F23" s="382"/>
      <c r="G23" s="382"/>
      <c r="H23" s="382"/>
      <c r="I23" s="383"/>
      <c r="J23" s="407"/>
      <c r="K23" s="408"/>
      <c r="L23" s="408"/>
      <c r="M23" s="408"/>
      <c r="N23" s="408"/>
      <c r="O23" s="409"/>
      <c r="P23" s="407"/>
      <c r="Q23" s="408"/>
      <c r="R23" s="408"/>
      <c r="S23" s="408"/>
      <c r="T23" s="408"/>
      <c r="U23" s="409"/>
      <c r="V23" s="407"/>
      <c r="W23" s="408"/>
      <c r="X23" s="408"/>
      <c r="Y23" s="408"/>
      <c r="Z23" s="408"/>
      <c r="AA23" s="409"/>
      <c r="AB23" s="391"/>
      <c r="AC23" s="387"/>
      <c r="AD23" s="387"/>
      <c r="AE23" s="387"/>
      <c r="AF23" s="387"/>
      <c r="AG23" s="388"/>
      <c r="AH23" s="398"/>
      <c r="AI23" s="399"/>
      <c r="AJ23" s="399"/>
      <c r="AK23" s="399"/>
      <c r="AL23" s="399"/>
      <c r="AM23" s="400"/>
      <c r="AN23" s="41"/>
      <c r="AO23" s="363"/>
      <c r="AP23" s="364"/>
      <c r="AQ23" s="364"/>
      <c r="AR23" s="364"/>
      <c r="AS23" s="364"/>
      <c r="AT23" s="365"/>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row>
    <row r="24" spans="1:80" x14ac:dyDescent="0.25">
      <c r="A24" s="41"/>
      <c r="B24" s="340"/>
      <c r="C24" s="340"/>
      <c r="D24" s="341"/>
      <c r="E24" s="381"/>
      <c r="F24" s="382"/>
      <c r="G24" s="382"/>
      <c r="H24" s="382"/>
      <c r="I24" s="383"/>
      <c r="J24" s="407" t="str">
        <f>IF(AND('Mapa de Riesgos'!$I$47="Media",'Mapa de Riesgos'!$M$47="Leve"),CONCATENATE("R",'Mapa de Riesgos'!$A$47),"")</f>
        <v/>
      </c>
      <c r="K24" s="408"/>
      <c r="L24" s="408" t="e">
        <f>IF(AND('Mapa de Riesgos'!#REF!="Media",'Mapa de Riesgos'!#REF!="Leve"),CONCATENATE("R",'Mapa de Riesgos'!#REF!),"")</f>
        <v>#REF!</v>
      </c>
      <c r="M24" s="408"/>
      <c r="N24" s="408" t="str">
        <f>IF(AND('Mapa de Riesgos'!$I$53="Media",'Mapa de Riesgos'!$M$53="Leve"),CONCATENATE("R",'Mapa de Riesgos'!$A$53),"")</f>
        <v/>
      </c>
      <c r="O24" s="409"/>
      <c r="P24" s="407" t="str">
        <f>IF(AND('Mapa de Riesgos'!$I$47="Media",'Mapa de Riesgos'!$M$47="Menor"),CONCATENATE("R",'Mapa de Riesgos'!$A$47),"")</f>
        <v/>
      </c>
      <c r="Q24" s="408"/>
      <c r="R24" s="408" t="e">
        <f>IF(AND('Mapa de Riesgos'!#REF!="Media",'Mapa de Riesgos'!#REF!="Menor"),CONCATENATE("R",'Mapa de Riesgos'!#REF!),"")</f>
        <v>#REF!</v>
      </c>
      <c r="S24" s="408"/>
      <c r="T24" s="408" t="str">
        <f>IF(AND('Mapa de Riesgos'!$I$53="Media",'Mapa de Riesgos'!$M$53="Menor"),CONCATENATE("R",'Mapa de Riesgos'!$A$53),"")</f>
        <v/>
      </c>
      <c r="U24" s="409"/>
      <c r="V24" s="407" t="str">
        <f>IF(AND('Mapa de Riesgos'!$I$47="Media",'Mapa de Riesgos'!$M$47="Moderado"),CONCATENATE("R",'Mapa de Riesgos'!$A$47),"")</f>
        <v/>
      </c>
      <c r="W24" s="408"/>
      <c r="X24" s="408" t="e">
        <f>IF(AND('Mapa de Riesgos'!#REF!="Media",'Mapa de Riesgos'!#REF!="Moderado"),CONCATENATE("R",'Mapa de Riesgos'!#REF!),"")</f>
        <v>#REF!</v>
      </c>
      <c r="Y24" s="408"/>
      <c r="Z24" s="408" t="str">
        <f>IF(AND('Mapa de Riesgos'!$I$53="Media",'Mapa de Riesgos'!$M$53="Moderado"),CONCATENATE("R",'Mapa de Riesgos'!$A$53),"")</f>
        <v/>
      </c>
      <c r="AA24" s="409"/>
      <c r="AB24" s="391" t="str">
        <f>IF(AND('Mapa de Riesgos'!$I$47="Media",'Mapa de Riesgos'!$M$47="Mayor"),CONCATENATE("R",'Mapa de Riesgos'!$A$47),"")</f>
        <v/>
      </c>
      <c r="AC24" s="387"/>
      <c r="AD24" s="387" t="e">
        <f>IF(AND('Mapa de Riesgos'!#REF!="Media",'Mapa de Riesgos'!#REF!="Mayor"),CONCATENATE("R",'Mapa de Riesgos'!#REF!),"")</f>
        <v>#REF!</v>
      </c>
      <c r="AE24" s="387"/>
      <c r="AF24" s="387" t="str">
        <f>IF(AND('Mapa de Riesgos'!$I$53="Media",'Mapa de Riesgos'!$M$53="Mayor"),CONCATENATE("R",'Mapa de Riesgos'!$A$53),"")</f>
        <v/>
      </c>
      <c r="AG24" s="388"/>
      <c r="AH24" s="398" t="str">
        <f>IF(AND('Mapa de Riesgos'!$I$47="Media",'Mapa de Riesgos'!$M$47="Catastrófico"),CONCATENATE("R",'Mapa de Riesgos'!$A$47),"")</f>
        <v/>
      </c>
      <c r="AI24" s="399"/>
      <c r="AJ24" s="399" t="e">
        <f>IF(AND('Mapa de Riesgos'!#REF!="Media",'Mapa de Riesgos'!#REF!="Catastrófico"),CONCATENATE("R",'Mapa de Riesgos'!#REF!),"")</f>
        <v>#REF!</v>
      </c>
      <c r="AK24" s="399"/>
      <c r="AL24" s="399" t="str">
        <f>IF(AND('Mapa de Riesgos'!$I$53="Media",'Mapa de Riesgos'!$M$53="Catastrófico"),CONCATENATE("R",'Mapa de Riesgos'!$A$53),"")</f>
        <v/>
      </c>
      <c r="AM24" s="400"/>
      <c r="AN24" s="41"/>
      <c r="AO24" s="363"/>
      <c r="AP24" s="364"/>
      <c r="AQ24" s="364"/>
      <c r="AR24" s="364"/>
      <c r="AS24" s="364"/>
      <c r="AT24" s="365"/>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row>
    <row r="25" spans="1:80" x14ac:dyDescent="0.25">
      <c r="A25" s="41"/>
      <c r="B25" s="340"/>
      <c r="C25" s="340"/>
      <c r="D25" s="341"/>
      <c r="E25" s="381"/>
      <c r="F25" s="382"/>
      <c r="G25" s="382"/>
      <c r="H25" s="382"/>
      <c r="I25" s="383"/>
      <c r="J25" s="407"/>
      <c r="K25" s="408"/>
      <c r="L25" s="408"/>
      <c r="M25" s="408"/>
      <c r="N25" s="408"/>
      <c r="O25" s="409"/>
      <c r="P25" s="407"/>
      <c r="Q25" s="408"/>
      <c r="R25" s="408"/>
      <c r="S25" s="408"/>
      <c r="T25" s="408"/>
      <c r="U25" s="409"/>
      <c r="V25" s="407"/>
      <c r="W25" s="408"/>
      <c r="X25" s="408"/>
      <c r="Y25" s="408"/>
      <c r="Z25" s="408"/>
      <c r="AA25" s="409"/>
      <c r="AB25" s="391"/>
      <c r="AC25" s="387"/>
      <c r="AD25" s="387"/>
      <c r="AE25" s="387"/>
      <c r="AF25" s="387"/>
      <c r="AG25" s="388"/>
      <c r="AH25" s="398"/>
      <c r="AI25" s="399"/>
      <c r="AJ25" s="399"/>
      <c r="AK25" s="399"/>
      <c r="AL25" s="399"/>
      <c r="AM25" s="400"/>
      <c r="AN25" s="41"/>
      <c r="AO25" s="363"/>
      <c r="AP25" s="364"/>
      <c r="AQ25" s="364"/>
      <c r="AR25" s="364"/>
      <c r="AS25" s="364"/>
      <c r="AT25" s="365"/>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row>
    <row r="26" spans="1:80" x14ac:dyDescent="0.25">
      <c r="A26" s="41"/>
      <c r="B26" s="340"/>
      <c r="C26" s="340"/>
      <c r="D26" s="341"/>
      <c r="E26" s="381"/>
      <c r="F26" s="382"/>
      <c r="G26" s="382"/>
      <c r="H26" s="382"/>
      <c r="I26" s="383"/>
      <c r="J26" s="407" t="str">
        <f>IF(AND('Mapa de Riesgos'!$I$23="Media",'Mapa de Riesgos'!$M$23="Leve"),CONCATENATE("R",'Mapa de Riesgos'!$A$23),"")</f>
        <v/>
      </c>
      <c r="K26" s="408"/>
      <c r="L26" s="408" t="str">
        <f>IF(AND('Mapa de Riesgos'!$I$17="Media",'Mapa de Riesgos'!$M$17="Leve"),CONCATENATE("R",'Mapa de Riesgos'!$A$17),"")</f>
        <v/>
      </c>
      <c r="M26" s="408"/>
      <c r="N26" s="408" t="str">
        <f>IF(AND('Mapa de Riesgos'!$I$59="Media",'Mapa de Riesgos'!$M$59="Leve"),CONCATENATE("R",'Mapa de Riesgos'!$A$59),"")</f>
        <v/>
      </c>
      <c r="O26" s="409"/>
      <c r="P26" s="407" t="str">
        <f>IF(AND('Mapa de Riesgos'!$I$23="Media",'Mapa de Riesgos'!$M$23="Menor"),CONCATENATE("R",'Mapa de Riesgos'!$A$23),"")</f>
        <v/>
      </c>
      <c r="Q26" s="408"/>
      <c r="R26" s="408" t="str">
        <f>IF(AND('Mapa de Riesgos'!$I$17="Media",'Mapa de Riesgos'!$M$17="Menor"),CONCATENATE("R",'Mapa de Riesgos'!$A$17),"")</f>
        <v/>
      </c>
      <c r="S26" s="408"/>
      <c r="T26" s="408" t="str">
        <f>IF(AND('Mapa de Riesgos'!$I$59="Media",'Mapa de Riesgos'!$M$59="Menor"),CONCATENATE("R",'Mapa de Riesgos'!$A$59),"")</f>
        <v/>
      </c>
      <c r="U26" s="409"/>
      <c r="V26" s="407" t="str">
        <f>IF(AND('Mapa de Riesgos'!$I$23="Media",'Mapa de Riesgos'!$M$23="Moderado"),CONCATENATE("R",'Mapa de Riesgos'!$A$23),"")</f>
        <v/>
      </c>
      <c r="W26" s="408"/>
      <c r="X26" s="408" t="str">
        <f>IF(AND('Mapa de Riesgos'!$I$17="Media",'Mapa de Riesgos'!$M$17="Moderado"),CONCATENATE("R",'Mapa de Riesgos'!$A$17),"")</f>
        <v/>
      </c>
      <c r="Y26" s="408"/>
      <c r="Z26" s="408" t="str">
        <f>IF(AND('Mapa de Riesgos'!$I$59="Media",'Mapa de Riesgos'!$M$59="Moderado"),CONCATENATE("R",'Mapa de Riesgos'!$A$59),"")</f>
        <v/>
      </c>
      <c r="AA26" s="409"/>
      <c r="AB26" s="391" t="str">
        <f>IF(AND('Mapa de Riesgos'!$I$23="Media",'Mapa de Riesgos'!$M$23="Mayor"),CONCATENATE("R",'Mapa de Riesgos'!$A$23),"")</f>
        <v/>
      </c>
      <c r="AC26" s="387"/>
      <c r="AD26" s="387" t="str">
        <f>IF(AND('Mapa de Riesgos'!$I$17="Media",'Mapa de Riesgos'!$M$17="Mayor"),CONCATENATE("R",'Mapa de Riesgos'!$A$17),"")</f>
        <v/>
      </c>
      <c r="AE26" s="387"/>
      <c r="AF26" s="387" t="str">
        <f>IF(AND('Mapa de Riesgos'!$I$59="Media",'Mapa de Riesgos'!$M$59="Mayor"),CONCATENATE("R",'Mapa de Riesgos'!$A$59),"")</f>
        <v/>
      </c>
      <c r="AG26" s="388"/>
      <c r="AH26" s="398" t="str">
        <f>IF(AND('Mapa de Riesgos'!$I$23="Media",'Mapa de Riesgos'!$M$23="Catastrófico"),CONCATENATE("R",'Mapa de Riesgos'!$A$23),"")</f>
        <v/>
      </c>
      <c r="AI26" s="399"/>
      <c r="AJ26" s="399" t="str">
        <f>IF(AND('Mapa de Riesgos'!$I$17="Media",'Mapa de Riesgos'!$M$17="Catastrófico"),CONCATENATE("R",'Mapa de Riesgos'!$A$17),"")</f>
        <v/>
      </c>
      <c r="AK26" s="399"/>
      <c r="AL26" s="399" t="str">
        <f>IF(AND('Mapa de Riesgos'!$I$59="Media",'Mapa de Riesgos'!$M$59="Catastrófico"),CONCATENATE("R",'Mapa de Riesgos'!$A$59),"")</f>
        <v/>
      </c>
      <c r="AM26" s="400"/>
      <c r="AN26" s="41"/>
      <c r="AO26" s="363"/>
      <c r="AP26" s="364"/>
      <c r="AQ26" s="364"/>
      <c r="AR26" s="364"/>
      <c r="AS26" s="364"/>
      <c r="AT26" s="365"/>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row>
    <row r="27" spans="1:80" x14ac:dyDescent="0.25">
      <c r="A27" s="41"/>
      <c r="B27" s="340"/>
      <c r="C27" s="340"/>
      <c r="D27" s="341"/>
      <c r="E27" s="381"/>
      <c r="F27" s="382"/>
      <c r="G27" s="382"/>
      <c r="H27" s="382"/>
      <c r="I27" s="383"/>
      <c r="J27" s="407"/>
      <c r="K27" s="408"/>
      <c r="L27" s="408"/>
      <c r="M27" s="408"/>
      <c r="N27" s="408"/>
      <c r="O27" s="409"/>
      <c r="P27" s="407"/>
      <c r="Q27" s="408"/>
      <c r="R27" s="408"/>
      <c r="S27" s="408"/>
      <c r="T27" s="408"/>
      <c r="U27" s="409"/>
      <c r="V27" s="407"/>
      <c r="W27" s="408"/>
      <c r="X27" s="408"/>
      <c r="Y27" s="408"/>
      <c r="Z27" s="408"/>
      <c r="AA27" s="409"/>
      <c r="AB27" s="391"/>
      <c r="AC27" s="387"/>
      <c r="AD27" s="387"/>
      <c r="AE27" s="387"/>
      <c r="AF27" s="387"/>
      <c r="AG27" s="388"/>
      <c r="AH27" s="398"/>
      <c r="AI27" s="399"/>
      <c r="AJ27" s="399"/>
      <c r="AK27" s="399"/>
      <c r="AL27" s="399"/>
      <c r="AM27" s="400"/>
      <c r="AN27" s="41"/>
      <c r="AO27" s="363"/>
      <c r="AP27" s="364"/>
      <c r="AQ27" s="364"/>
      <c r="AR27" s="364"/>
      <c r="AS27" s="364"/>
      <c r="AT27" s="365"/>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row>
    <row r="28" spans="1:80" x14ac:dyDescent="0.25">
      <c r="A28" s="41"/>
      <c r="B28" s="340"/>
      <c r="C28" s="340"/>
      <c r="D28" s="341"/>
      <c r="E28" s="381"/>
      <c r="F28" s="382"/>
      <c r="G28" s="382"/>
      <c r="H28" s="382"/>
      <c r="I28" s="383"/>
      <c r="J28" s="407" t="str">
        <f>IF(AND('Mapa de Riesgos'!$I$65="Media",'Mapa de Riesgos'!$M$65="Leve"),CONCATENATE("R",'Mapa de Riesgos'!$A$65),"")</f>
        <v/>
      </c>
      <c r="K28" s="408"/>
      <c r="L28" s="408" t="str">
        <f>IF(AND('Mapa de Riesgos'!$I$83="Media",'Mapa de Riesgos'!$M$83="Leve"),CONCATENATE("R",'Mapa de Riesgos'!$A$83),"")</f>
        <v/>
      </c>
      <c r="M28" s="408"/>
      <c r="N28" s="408" t="str">
        <f>IF(AND('Mapa de Riesgos'!$I$89="Media",'Mapa de Riesgos'!$M$89="Leve"),CONCATENATE("R",'Mapa de Riesgos'!$A$89),"")</f>
        <v/>
      </c>
      <c r="O28" s="409"/>
      <c r="P28" s="407" t="str">
        <f>IF(AND('Mapa de Riesgos'!$I$65="Media",'Mapa de Riesgos'!$M$65="Menor"),CONCATENATE("R",'Mapa de Riesgos'!$A$65),"")</f>
        <v/>
      </c>
      <c r="Q28" s="408"/>
      <c r="R28" s="408" t="str">
        <f>IF(AND('Mapa de Riesgos'!$I$83="Media",'Mapa de Riesgos'!$M$83="Menor"),CONCATENATE("R",'Mapa de Riesgos'!$A$83),"")</f>
        <v/>
      </c>
      <c r="S28" s="408"/>
      <c r="T28" s="408" t="str">
        <f>IF(AND('Mapa de Riesgos'!$I$89="Media",'Mapa de Riesgos'!$M$89="Menor"),CONCATENATE("R",'Mapa de Riesgos'!$A$89),"")</f>
        <v/>
      </c>
      <c r="U28" s="409"/>
      <c r="V28" s="407" t="str">
        <f>IF(AND('Mapa de Riesgos'!$I$65="Media",'Mapa de Riesgos'!$M$65="Moderado"),CONCATENATE("R",'Mapa de Riesgos'!$A$65),"")</f>
        <v/>
      </c>
      <c r="W28" s="408"/>
      <c r="X28" s="408" t="str">
        <f>IF(AND('Mapa de Riesgos'!$I$83="Media",'Mapa de Riesgos'!$M$83="Moderado"),CONCATENATE("R",'Mapa de Riesgos'!$A$83),"")</f>
        <v/>
      </c>
      <c r="Y28" s="408"/>
      <c r="Z28" s="408" t="str">
        <f>IF(AND('Mapa de Riesgos'!$I$89="Media",'Mapa de Riesgos'!$M$89="Moderado"),CONCATENATE("R",'Mapa de Riesgos'!$A$89),"")</f>
        <v/>
      </c>
      <c r="AA28" s="409"/>
      <c r="AB28" s="391" t="str">
        <f>IF(AND('Mapa de Riesgos'!$I$65="Media",'Mapa de Riesgos'!$M$65="Mayor"),CONCATENATE("R",'Mapa de Riesgos'!$A$65),"")</f>
        <v/>
      </c>
      <c r="AC28" s="387"/>
      <c r="AD28" s="387" t="str">
        <f>IF(AND('Mapa de Riesgos'!$I$83="Media",'Mapa de Riesgos'!$M$83="Mayor"),CONCATENATE("R",'Mapa de Riesgos'!$A$83),"")</f>
        <v/>
      </c>
      <c r="AE28" s="387"/>
      <c r="AF28" s="387" t="str">
        <f>IF(AND('Mapa de Riesgos'!$I$89="Media",'Mapa de Riesgos'!$M$89="Mayor"),CONCATENATE("R",'Mapa de Riesgos'!$A$89),"")</f>
        <v/>
      </c>
      <c r="AG28" s="388"/>
      <c r="AH28" s="398" t="str">
        <f>IF(AND('Mapa de Riesgos'!$I$65="Media",'Mapa de Riesgos'!$M$65="Catastrófico"),CONCATENATE("R",'Mapa de Riesgos'!$A$65),"")</f>
        <v/>
      </c>
      <c r="AI28" s="399"/>
      <c r="AJ28" s="399" t="str">
        <f>IF(AND('Mapa de Riesgos'!$I$83="Media",'Mapa de Riesgos'!$M$83="Catastrófico"),CONCATENATE("R",'Mapa de Riesgos'!$A$83),"")</f>
        <v/>
      </c>
      <c r="AK28" s="399"/>
      <c r="AL28" s="399" t="str">
        <f>IF(AND('Mapa de Riesgos'!$I$89="Media",'Mapa de Riesgos'!$M$89="Catastrófico"),CONCATENATE("R",'Mapa de Riesgos'!$A$89),"")</f>
        <v/>
      </c>
      <c r="AM28" s="400"/>
      <c r="AN28" s="41"/>
      <c r="AO28" s="363"/>
      <c r="AP28" s="364"/>
      <c r="AQ28" s="364"/>
      <c r="AR28" s="364"/>
      <c r="AS28" s="364"/>
      <c r="AT28" s="365"/>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row>
    <row r="29" spans="1:80" ht="15.75" thickBot="1" x14ac:dyDescent="0.3">
      <c r="A29" s="41"/>
      <c r="B29" s="340"/>
      <c r="C29" s="340"/>
      <c r="D29" s="341"/>
      <c r="E29" s="384"/>
      <c r="F29" s="385"/>
      <c r="G29" s="385"/>
      <c r="H29" s="385"/>
      <c r="I29" s="386"/>
      <c r="J29" s="407"/>
      <c r="K29" s="408"/>
      <c r="L29" s="408"/>
      <c r="M29" s="408"/>
      <c r="N29" s="408"/>
      <c r="O29" s="409"/>
      <c r="P29" s="410"/>
      <c r="Q29" s="411"/>
      <c r="R29" s="411"/>
      <c r="S29" s="411"/>
      <c r="T29" s="411"/>
      <c r="U29" s="412"/>
      <c r="V29" s="410"/>
      <c r="W29" s="411"/>
      <c r="X29" s="411"/>
      <c r="Y29" s="411"/>
      <c r="Z29" s="411"/>
      <c r="AA29" s="412"/>
      <c r="AB29" s="395"/>
      <c r="AC29" s="396"/>
      <c r="AD29" s="396"/>
      <c r="AE29" s="396"/>
      <c r="AF29" s="396"/>
      <c r="AG29" s="397"/>
      <c r="AH29" s="401"/>
      <c r="AI29" s="402"/>
      <c r="AJ29" s="402"/>
      <c r="AK29" s="402"/>
      <c r="AL29" s="402"/>
      <c r="AM29" s="403"/>
      <c r="AN29" s="41"/>
      <c r="AO29" s="366"/>
      <c r="AP29" s="367"/>
      <c r="AQ29" s="367"/>
      <c r="AR29" s="367"/>
      <c r="AS29" s="367"/>
      <c r="AT29" s="368"/>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row>
    <row r="30" spans="1:80" x14ac:dyDescent="0.25">
      <c r="A30" s="41"/>
      <c r="B30" s="340"/>
      <c r="C30" s="340"/>
      <c r="D30" s="341"/>
      <c r="E30" s="378" t="s">
        <v>117</v>
      </c>
      <c r="F30" s="379"/>
      <c r="G30" s="379"/>
      <c r="H30" s="379"/>
      <c r="I30" s="379"/>
      <c r="J30" s="422" t="str">
        <f>IF(AND('Mapa de Riesgos'!$I$11="Baja",'Mapa de Riesgos'!$M$11="Leve"),CONCATENATE("R",'Mapa de Riesgos'!$A$11),"")</f>
        <v/>
      </c>
      <c r="K30" s="423"/>
      <c r="L30" s="423" t="str">
        <f>IF(AND('Mapa de Riesgos'!$I$29="Baja",'Mapa de Riesgos'!$M$29="Leve"),CONCATENATE("R",'Mapa de Riesgos'!$A$29),"")</f>
        <v/>
      </c>
      <c r="M30" s="423"/>
      <c r="N30" s="423" t="str">
        <f>IF(AND('Mapa de Riesgos'!$I$35="Baja",'Mapa de Riesgos'!$M$35="Leve"),CONCATENATE("R",'Mapa de Riesgos'!$A$35),"")</f>
        <v/>
      </c>
      <c r="O30" s="424"/>
      <c r="P30" s="414" t="str">
        <f>IF(AND('Mapa de Riesgos'!$I$11="Baja",'Mapa de Riesgos'!$M$11="Menor"),CONCATENATE("R",'Mapa de Riesgos'!$A$11),"")</f>
        <v/>
      </c>
      <c r="Q30" s="414"/>
      <c r="R30" s="414" t="str">
        <f>IF(AND('Mapa de Riesgos'!$I$29="Baja",'Mapa de Riesgos'!$M$29="Menor"),CONCATENATE("R",'Mapa de Riesgos'!$A$29),"")</f>
        <v/>
      </c>
      <c r="S30" s="414"/>
      <c r="T30" s="414" t="str">
        <f>IF(AND('Mapa de Riesgos'!$I$35="Baja",'Mapa de Riesgos'!$M$35="Menor"),CONCATENATE("R",'Mapa de Riesgos'!$A$35),"")</f>
        <v/>
      </c>
      <c r="U30" s="415"/>
      <c r="V30" s="413" t="str">
        <f>IF(AND('Mapa de Riesgos'!$I$11="Baja",'Mapa de Riesgos'!$M$11="Moderado"),CONCATENATE("R",'Mapa de Riesgos'!$A$11),"")</f>
        <v/>
      </c>
      <c r="W30" s="414"/>
      <c r="X30" s="414" t="str">
        <f>IF(AND('Mapa de Riesgos'!$I$29="Baja",'Mapa de Riesgos'!$M$29="Moderado"),CONCATENATE("R",'Mapa de Riesgos'!$A$29),"")</f>
        <v/>
      </c>
      <c r="Y30" s="414"/>
      <c r="Z30" s="414" t="str">
        <f>IF(AND('Mapa de Riesgos'!$I$35="Baja",'Mapa de Riesgos'!$M$35="Moderado"),CONCATENATE("R",'Mapa de Riesgos'!$A$35),"")</f>
        <v/>
      </c>
      <c r="AA30" s="415"/>
      <c r="AB30" s="389" t="str">
        <f>IF(AND('Mapa de Riesgos'!$I$11="Baja",'Mapa de Riesgos'!$M$11="Mayor"),CONCATENATE("R",'Mapa de Riesgos'!$A$11),"")</f>
        <v/>
      </c>
      <c r="AC30" s="390"/>
      <c r="AD30" s="390" t="str">
        <f>IF(AND('Mapa de Riesgos'!$I$29="Baja",'Mapa de Riesgos'!$M$29="Mayor"),CONCATENATE("R",'Mapa de Riesgos'!$A$29),"")</f>
        <v/>
      </c>
      <c r="AE30" s="390"/>
      <c r="AF30" s="390" t="str">
        <f>IF(AND('Mapa de Riesgos'!$I$35="Baja",'Mapa de Riesgos'!$M$35="Mayor"),CONCATENATE("R",'Mapa de Riesgos'!$A$35),"")</f>
        <v/>
      </c>
      <c r="AG30" s="392"/>
      <c r="AH30" s="404" t="str">
        <f>IF(AND('Mapa de Riesgos'!$I$11="Baja",'Mapa de Riesgos'!$M$11="Catastrófico"),CONCATENATE("R",'Mapa de Riesgos'!$A$11),"")</f>
        <v/>
      </c>
      <c r="AI30" s="405"/>
      <c r="AJ30" s="405" t="str">
        <f>IF(AND('Mapa de Riesgos'!$I$29="Baja",'Mapa de Riesgos'!$M$29="Catastrófico"),CONCATENATE("R",'Mapa de Riesgos'!$A$29),"")</f>
        <v/>
      </c>
      <c r="AK30" s="405"/>
      <c r="AL30" s="405" t="str">
        <f>IF(AND('Mapa de Riesgos'!$I$35="Baja",'Mapa de Riesgos'!$M$35="Catastrófico"),CONCATENATE("R",'Mapa de Riesgos'!$A$35),"")</f>
        <v/>
      </c>
      <c r="AM30" s="406"/>
      <c r="AN30" s="41"/>
      <c r="AO30" s="369" t="s">
        <v>118</v>
      </c>
      <c r="AP30" s="370"/>
      <c r="AQ30" s="370"/>
      <c r="AR30" s="370"/>
      <c r="AS30" s="370"/>
      <c r="AT30" s="37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row>
    <row r="31" spans="1:80" x14ac:dyDescent="0.25">
      <c r="A31" s="41"/>
      <c r="B31" s="340"/>
      <c r="C31" s="340"/>
      <c r="D31" s="341"/>
      <c r="E31" s="381"/>
      <c r="F31" s="382"/>
      <c r="G31" s="382"/>
      <c r="H31" s="382"/>
      <c r="I31" s="382"/>
      <c r="J31" s="418"/>
      <c r="K31" s="416"/>
      <c r="L31" s="416"/>
      <c r="M31" s="416"/>
      <c r="N31" s="416"/>
      <c r="O31" s="417"/>
      <c r="P31" s="408"/>
      <c r="Q31" s="408"/>
      <c r="R31" s="408"/>
      <c r="S31" s="408"/>
      <c r="T31" s="408"/>
      <c r="U31" s="409"/>
      <c r="V31" s="407"/>
      <c r="W31" s="408"/>
      <c r="X31" s="408"/>
      <c r="Y31" s="408"/>
      <c r="Z31" s="408"/>
      <c r="AA31" s="409"/>
      <c r="AB31" s="391"/>
      <c r="AC31" s="387"/>
      <c r="AD31" s="387"/>
      <c r="AE31" s="387"/>
      <c r="AF31" s="387"/>
      <c r="AG31" s="388"/>
      <c r="AH31" s="398"/>
      <c r="AI31" s="399"/>
      <c r="AJ31" s="399"/>
      <c r="AK31" s="399"/>
      <c r="AL31" s="399"/>
      <c r="AM31" s="400"/>
      <c r="AN31" s="41"/>
      <c r="AO31" s="372"/>
      <c r="AP31" s="373"/>
      <c r="AQ31" s="373"/>
      <c r="AR31" s="373"/>
      <c r="AS31" s="373"/>
      <c r="AT31" s="374"/>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row>
    <row r="32" spans="1:80" x14ac:dyDescent="0.25">
      <c r="A32" s="41"/>
      <c r="B32" s="340"/>
      <c r="C32" s="340"/>
      <c r="D32" s="341"/>
      <c r="E32" s="381"/>
      <c r="F32" s="382"/>
      <c r="G32" s="382"/>
      <c r="H32" s="382"/>
      <c r="I32" s="382"/>
      <c r="J32" s="418" t="str">
        <f>IF(AND('Mapa de Riesgos'!$I$47="Baja",'Mapa de Riesgos'!$M$47="Leve"),CONCATENATE("R",'Mapa de Riesgos'!$A$47),"")</f>
        <v/>
      </c>
      <c r="K32" s="416"/>
      <c r="L32" s="416" t="e">
        <f>IF(AND('Mapa de Riesgos'!#REF!="Baja",'Mapa de Riesgos'!#REF!="Leve"),CONCATENATE("R",'Mapa de Riesgos'!#REF!),"")</f>
        <v>#REF!</v>
      </c>
      <c r="M32" s="416"/>
      <c r="N32" s="416" t="str">
        <f>IF(AND('Mapa de Riesgos'!$I$53="Baja",'Mapa de Riesgos'!$M$53="Leve"),CONCATENATE("R",'Mapa de Riesgos'!$A$53),"")</f>
        <v/>
      </c>
      <c r="O32" s="417"/>
      <c r="P32" s="408" t="str">
        <f>IF(AND('Mapa de Riesgos'!$I$47="Baja",'Mapa de Riesgos'!$M$47="Menor"),CONCATENATE("R",'Mapa de Riesgos'!$A$47),"")</f>
        <v/>
      </c>
      <c r="Q32" s="408"/>
      <c r="R32" s="408" t="e">
        <f>IF(AND('Mapa de Riesgos'!#REF!="Baja",'Mapa de Riesgos'!#REF!="Menor"),CONCATENATE("R",'Mapa de Riesgos'!#REF!),"")</f>
        <v>#REF!</v>
      </c>
      <c r="S32" s="408"/>
      <c r="T32" s="408" t="str">
        <f>IF(AND('Mapa de Riesgos'!$I$53="Baja",'Mapa de Riesgos'!$M$53="Menor"),CONCATENATE("R",'Mapa de Riesgos'!$A$53),"")</f>
        <v/>
      </c>
      <c r="U32" s="409"/>
      <c r="V32" s="407" t="str">
        <f>IF(AND('Mapa de Riesgos'!$I$47="Baja",'Mapa de Riesgos'!$M$47="Moderado"),CONCATENATE("R",'Mapa de Riesgos'!$A$47),"")</f>
        <v/>
      </c>
      <c r="W32" s="408"/>
      <c r="X32" s="408" t="e">
        <f>IF(AND('Mapa de Riesgos'!#REF!="Baja",'Mapa de Riesgos'!#REF!="Moderado"),CONCATENATE("R",'Mapa de Riesgos'!#REF!),"")</f>
        <v>#REF!</v>
      </c>
      <c r="Y32" s="408"/>
      <c r="Z32" s="408" t="str">
        <f>IF(AND('Mapa de Riesgos'!$I$53="Baja",'Mapa de Riesgos'!$M$53="Moderado"),CONCATENATE("R",'Mapa de Riesgos'!$A$53),"")</f>
        <v/>
      </c>
      <c r="AA32" s="409"/>
      <c r="AB32" s="391" t="str">
        <f>IF(AND('Mapa de Riesgos'!$I$47="Baja",'Mapa de Riesgos'!$M$47="Mayor"),CONCATENATE("R",'Mapa de Riesgos'!$A$47),"")</f>
        <v/>
      </c>
      <c r="AC32" s="387"/>
      <c r="AD32" s="387" t="e">
        <f>IF(AND('Mapa de Riesgos'!#REF!="Baja",'Mapa de Riesgos'!#REF!="Mayor"),CONCATENATE("R",'Mapa de Riesgos'!#REF!),"")</f>
        <v>#REF!</v>
      </c>
      <c r="AE32" s="387"/>
      <c r="AF32" s="387" t="str">
        <f>IF(AND('Mapa de Riesgos'!$I$53="Baja",'Mapa de Riesgos'!$M$53="Mayor"),CONCATENATE("R",'Mapa de Riesgos'!$A$53),"")</f>
        <v/>
      </c>
      <c r="AG32" s="388"/>
      <c r="AH32" s="398" t="str">
        <f>IF(AND('Mapa de Riesgos'!$I$47="Baja",'Mapa de Riesgos'!$M$47="Catastrófico"),CONCATENATE("R",'Mapa de Riesgos'!$A$47),"")</f>
        <v/>
      </c>
      <c r="AI32" s="399"/>
      <c r="AJ32" s="399" t="e">
        <f>IF(AND('Mapa de Riesgos'!#REF!="Baja",'Mapa de Riesgos'!#REF!="Catastrófico"),CONCATENATE("R",'Mapa de Riesgos'!#REF!),"")</f>
        <v>#REF!</v>
      </c>
      <c r="AK32" s="399"/>
      <c r="AL32" s="399" t="str">
        <f>IF(AND('Mapa de Riesgos'!$I$53="Baja",'Mapa de Riesgos'!$M$53="Catastrófico"),CONCATENATE("R",'Mapa de Riesgos'!$A$53),"")</f>
        <v/>
      </c>
      <c r="AM32" s="400"/>
      <c r="AN32" s="41"/>
      <c r="AO32" s="372"/>
      <c r="AP32" s="373"/>
      <c r="AQ32" s="373"/>
      <c r="AR32" s="373"/>
      <c r="AS32" s="373"/>
      <c r="AT32" s="374"/>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row>
    <row r="33" spans="1:80" x14ac:dyDescent="0.25">
      <c r="A33" s="41"/>
      <c r="B33" s="340"/>
      <c r="C33" s="340"/>
      <c r="D33" s="341"/>
      <c r="E33" s="381"/>
      <c r="F33" s="382"/>
      <c r="G33" s="382"/>
      <c r="H33" s="382"/>
      <c r="I33" s="382"/>
      <c r="J33" s="418"/>
      <c r="K33" s="416"/>
      <c r="L33" s="416"/>
      <c r="M33" s="416"/>
      <c r="N33" s="416"/>
      <c r="O33" s="417"/>
      <c r="P33" s="408"/>
      <c r="Q33" s="408"/>
      <c r="R33" s="408"/>
      <c r="S33" s="408"/>
      <c r="T33" s="408"/>
      <c r="U33" s="409"/>
      <c r="V33" s="407"/>
      <c r="W33" s="408"/>
      <c r="X33" s="408"/>
      <c r="Y33" s="408"/>
      <c r="Z33" s="408"/>
      <c r="AA33" s="409"/>
      <c r="AB33" s="391"/>
      <c r="AC33" s="387"/>
      <c r="AD33" s="387"/>
      <c r="AE33" s="387"/>
      <c r="AF33" s="387"/>
      <c r="AG33" s="388"/>
      <c r="AH33" s="398"/>
      <c r="AI33" s="399"/>
      <c r="AJ33" s="399"/>
      <c r="AK33" s="399"/>
      <c r="AL33" s="399"/>
      <c r="AM33" s="400"/>
      <c r="AN33" s="41"/>
      <c r="AO33" s="372"/>
      <c r="AP33" s="373"/>
      <c r="AQ33" s="373"/>
      <c r="AR33" s="373"/>
      <c r="AS33" s="373"/>
      <c r="AT33" s="374"/>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row>
    <row r="34" spans="1:80" x14ac:dyDescent="0.25">
      <c r="A34" s="41"/>
      <c r="B34" s="340"/>
      <c r="C34" s="340"/>
      <c r="D34" s="341"/>
      <c r="E34" s="381"/>
      <c r="F34" s="382"/>
      <c r="G34" s="382"/>
      <c r="H34" s="382"/>
      <c r="I34" s="382"/>
      <c r="J34" s="418" t="str">
        <f>IF(AND('Mapa de Riesgos'!$I$23="Baja",'Mapa de Riesgos'!$M$23="Leve"),CONCATENATE("R",'Mapa de Riesgos'!$A$23),"")</f>
        <v/>
      </c>
      <c r="K34" s="416"/>
      <c r="L34" s="416" t="str">
        <f>IF(AND('Mapa de Riesgos'!$I$17="Baja",'Mapa de Riesgos'!$M$17="Leve"),CONCATENATE("R",'Mapa de Riesgos'!$A$17),"")</f>
        <v/>
      </c>
      <c r="M34" s="416"/>
      <c r="N34" s="416" t="str">
        <f>IF(AND('Mapa de Riesgos'!$I$59="Baja",'Mapa de Riesgos'!$M$59="Leve"),CONCATENATE("R",'Mapa de Riesgos'!$A$59),"")</f>
        <v/>
      </c>
      <c r="O34" s="417"/>
      <c r="P34" s="408" t="str">
        <f>IF(AND('Mapa de Riesgos'!$I$23="Baja",'Mapa de Riesgos'!$M$23="Menor"),CONCATENATE("R",'Mapa de Riesgos'!$A$23),"")</f>
        <v>R3</v>
      </c>
      <c r="Q34" s="408"/>
      <c r="R34" s="408" t="str">
        <f>IF(AND('Mapa de Riesgos'!$I$17="Baja",'Mapa de Riesgos'!$M$17="Menor"),CONCATENATE("R",'Mapa de Riesgos'!$A$17),"")</f>
        <v>R2</v>
      </c>
      <c r="S34" s="408"/>
      <c r="T34" s="408" t="str">
        <f>IF(AND('Mapa de Riesgos'!$I$59="Baja",'Mapa de Riesgos'!$M$59="Menor"),CONCATENATE("R",'Mapa de Riesgos'!$A$59),"")</f>
        <v/>
      </c>
      <c r="U34" s="409"/>
      <c r="V34" s="407" t="str">
        <f>IF(AND('Mapa de Riesgos'!$I$23="Baja",'Mapa de Riesgos'!$M$23="Moderado"),CONCATENATE("R",'Mapa de Riesgos'!$A$23),"")</f>
        <v/>
      </c>
      <c r="W34" s="408"/>
      <c r="X34" s="408" t="str">
        <f>IF(AND('Mapa de Riesgos'!$I$17="Baja",'Mapa de Riesgos'!$M$17="Moderado"),CONCATENATE("R",'Mapa de Riesgos'!$A$17),"")</f>
        <v/>
      </c>
      <c r="Y34" s="408"/>
      <c r="Z34" s="408" t="str">
        <f>IF(AND('Mapa de Riesgos'!$I$59="Baja",'Mapa de Riesgos'!$M$59="Moderado"),CONCATENATE("R",'Mapa de Riesgos'!$A$59),"")</f>
        <v/>
      </c>
      <c r="AA34" s="409"/>
      <c r="AB34" s="391" t="str">
        <f>IF(AND('Mapa de Riesgos'!$I$23="Baja",'Mapa de Riesgos'!$M$23="Mayor"),CONCATENATE("R",'Mapa de Riesgos'!$A$23),"")</f>
        <v/>
      </c>
      <c r="AC34" s="387"/>
      <c r="AD34" s="387" t="str">
        <f>IF(AND('Mapa de Riesgos'!$I$17="Baja",'Mapa de Riesgos'!$M$17="Mayor"),CONCATENATE("R",'Mapa de Riesgos'!$A$17),"")</f>
        <v/>
      </c>
      <c r="AE34" s="387"/>
      <c r="AF34" s="387" t="str">
        <f>IF(AND('Mapa de Riesgos'!$I$59="Baja",'Mapa de Riesgos'!$M$59="Mayor"),CONCATENATE("R",'Mapa de Riesgos'!$A$59),"")</f>
        <v/>
      </c>
      <c r="AG34" s="388"/>
      <c r="AH34" s="398" t="str">
        <f>IF(AND('Mapa de Riesgos'!$I$23="Baja",'Mapa de Riesgos'!$M$23="Catastrófico"),CONCATENATE("R",'Mapa de Riesgos'!$A$23),"")</f>
        <v/>
      </c>
      <c r="AI34" s="399"/>
      <c r="AJ34" s="399" t="str">
        <f>IF(AND('Mapa de Riesgos'!$I$17="Baja",'Mapa de Riesgos'!$M$17="Catastrófico"),CONCATENATE("R",'Mapa de Riesgos'!$A$17),"")</f>
        <v/>
      </c>
      <c r="AK34" s="399"/>
      <c r="AL34" s="399" t="str">
        <f>IF(AND('Mapa de Riesgos'!$I$59="Baja",'Mapa de Riesgos'!$M$59="Catastrófico"),CONCATENATE("R",'Mapa de Riesgos'!$A$59),"")</f>
        <v/>
      </c>
      <c r="AM34" s="400"/>
      <c r="AN34" s="41"/>
      <c r="AO34" s="372"/>
      <c r="AP34" s="373"/>
      <c r="AQ34" s="373"/>
      <c r="AR34" s="373"/>
      <c r="AS34" s="373"/>
      <c r="AT34" s="374"/>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row>
    <row r="35" spans="1:80" x14ac:dyDescent="0.25">
      <c r="A35" s="41"/>
      <c r="B35" s="340"/>
      <c r="C35" s="340"/>
      <c r="D35" s="341"/>
      <c r="E35" s="381"/>
      <c r="F35" s="382"/>
      <c r="G35" s="382"/>
      <c r="H35" s="382"/>
      <c r="I35" s="382"/>
      <c r="J35" s="418"/>
      <c r="K35" s="416"/>
      <c r="L35" s="416"/>
      <c r="M35" s="416"/>
      <c r="N35" s="416"/>
      <c r="O35" s="417"/>
      <c r="P35" s="408"/>
      <c r="Q35" s="408"/>
      <c r="R35" s="408"/>
      <c r="S35" s="408"/>
      <c r="T35" s="408"/>
      <c r="U35" s="409"/>
      <c r="V35" s="407"/>
      <c r="W35" s="408"/>
      <c r="X35" s="408"/>
      <c r="Y35" s="408"/>
      <c r="Z35" s="408"/>
      <c r="AA35" s="409"/>
      <c r="AB35" s="391"/>
      <c r="AC35" s="387"/>
      <c r="AD35" s="387"/>
      <c r="AE35" s="387"/>
      <c r="AF35" s="387"/>
      <c r="AG35" s="388"/>
      <c r="AH35" s="398"/>
      <c r="AI35" s="399"/>
      <c r="AJ35" s="399"/>
      <c r="AK35" s="399"/>
      <c r="AL35" s="399"/>
      <c r="AM35" s="400"/>
      <c r="AN35" s="41"/>
      <c r="AO35" s="372"/>
      <c r="AP35" s="373"/>
      <c r="AQ35" s="373"/>
      <c r="AR35" s="373"/>
      <c r="AS35" s="373"/>
      <c r="AT35" s="374"/>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row>
    <row r="36" spans="1:80" x14ac:dyDescent="0.25">
      <c r="A36" s="41"/>
      <c r="B36" s="340"/>
      <c r="C36" s="340"/>
      <c r="D36" s="341"/>
      <c r="E36" s="381"/>
      <c r="F36" s="382"/>
      <c r="G36" s="382"/>
      <c r="H36" s="382"/>
      <c r="I36" s="382"/>
      <c r="J36" s="418" t="str">
        <f>IF(AND('Mapa de Riesgos'!$I$65="Baja",'Mapa de Riesgos'!$M$65="Leve"),CONCATENATE("R",'Mapa de Riesgos'!$A$65),"")</f>
        <v/>
      </c>
      <c r="K36" s="416"/>
      <c r="L36" s="416" t="str">
        <f>IF(AND('Mapa de Riesgos'!$I$83="Baja",'Mapa de Riesgos'!$M$83="Leve"),CONCATENATE("R",'Mapa de Riesgos'!$A$83),"")</f>
        <v/>
      </c>
      <c r="M36" s="416"/>
      <c r="N36" s="416" t="str">
        <f>IF(AND('Mapa de Riesgos'!$I$89="Baja",'Mapa de Riesgos'!$M$89="Leve"),CONCATENATE("R",'Mapa de Riesgos'!$A$89),"")</f>
        <v/>
      </c>
      <c r="O36" s="417"/>
      <c r="P36" s="408" t="str">
        <f>IF(AND('Mapa de Riesgos'!$I$65="Baja",'Mapa de Riesgos'!$M$65="Menor"),CONCATENATE("R",'Mapa de Riesgos'!$A$65),"")</f>
        <v/>
      </c>
      <c r="Q36" s="408"/>
      <c r="R36" s="408" t="str">
        <f>IF(AND('Mapa de Riesgos'!$I$83="Baja",'Mapa de Riesgos'!$M$83="Menor"),CONCATENATE("R",'Mapa de Riesgos'!$A$83),"")</f>
        <v/>
      </c>
      <c r="S36" s="408"/>
      <c r="T36" s="408" t="str">
        <f>IF(AND('Mapa de Riesgos'!$I$89="Baja",'Mapa de Riesgos'!$M$89="Menor"),CONCATENATE("R",'Mapa de Riesgos'!$A$89),"")</f>
        <v/>
      </c>
      <c r="U36" s="409"/>
      <c r="V36" s="407" t="str">
        <f>IF(AND('Mapa de Riesgos'!$I$65="Baja",'Mapa de Riesgos'!$M$65="Moderado"),CONCATENATE("R",'Mapa de Riesgos'!$A$65),"")</f>
        <v/>
      </c>
      <c r="W36" s="408"/>
      <c r="X36" s="408" t="str">
        <f>IF(AND('Mapa de Riesgos'!$I$83="Baja",'Mapa de Riesgos'!$M$83="Moderado"),CONCATENATE("R",'Mapa de Riesgos'!$A$83),"")</f>
        <v/>
      </c>
      <c r="Y36" s="408"/>
      <c r="Z36" s="408" t="str">
        <f>IF(AND('Mapa de Riesgos'!$I$89="Baja",'Mapa de Riesgos'!$M$89="Moderado"),CONCATENATE("R",'Mapa de Riesgos'!$A$89),"")</f>
        <v/>
      </c>
      <c r="AA36" s="409"/>
      <c r="AB36" s="391" t="str">
        <f>IF(AND('Mapa de Riesgos'!$I$65="Baja",'Mapa de Riesgos'!$M$65="Mayor"),CONCATENATE("R",'Mapa de Riesgos'!$A$65),"")</f>
        <v/>
      </c>
      <c r="AC36" s="387"/>
      <c r="AD36" s="387" t="str">
        <f>IF(AND('Mapa de Riesgos'!$I$83="Baja",'Mapa de Riesgos'!$M$83="Mayor"),CONCATENATE("R",'Mapa de Riesgos'!$A$83),"")</f>
        <v/>
      </c>
      <c r="AE36" s="387"/>
      <c r="AF36" s="387" t="str">
        <f>IF(AND('Mapa de Riesgos'!$I$89="Baja",'Mapa de Riesgos'!$M$89="Mayor"),CONCATENATE("R",'Mapa de Riesgos'!$A$89),"")</f>
        <v/>
      </c>
      <c r="AG36" s="388"/>
      <c r="AH36" s="398" t="str">
        <f>IF(AND('Mapa de Riesgos'!$I$65="Baja",'Mapa de Riesgos'!$M$65="Catastrófico"),CONCATENATE("R",'Mapa de Riesgos'!$A$65),"")</f>
        <v/>
      </c>
      <c r="AI36" s="399"/>
      <c r="AJ36" s="399" t="str">
        <f>IF(AND('Mapa de Riesgos'!$I$83="Baja",'Mapa de Riesgos'!$M$83="Catastrófico"),CONCATENATE("R",'Mapa de Riesgos'!$A$83),"")</f>
        <v/>
      </c>
      <c r="AK36" s="399"/>
      <c r="AL36" s="399" t="str">
        <f>IF(AND('Mapa de Riesgos'!$I$89="Baja",'Mapa de Riesgos'!$M$89="Catastrófico"),CONCATENATE("R",'Mapa de Riesgos'!$A$89),"")</f>
        <v/>
      </c>
      <c r="AM36" s="400"/>
      <c r="AN36" s="41"/>
      <c r="AO36" s="372"/>
      <c r="AP36" s="373"/>
      <c r="AQ36" s="373"/>
      <c r="AR36" s="373"/>
      <c r="AS36" s="373"/>
      <c r="AT36" s="374"/>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row>
    <row r="37" spans="1:80" ht="15.75" thickBot="1" x14ac:dyDescent="0.3">
      <c r="A37" s="41"/>
      <c r="B37" s="340"/>
      <c r="C37" s="340"/>
      <c r="D37" s="341"/>
      <c r="E37" s="384"/>
      <c r="F37" s="385"/>
      <c r="G37" s="385"/>
      <c r="H37" s="385"/>
      <c r="I37" s="385"/>
      <c r="J37" s="419"/>
      <c r="K37" s="420"/>
      <c r="L37" s="420"/>
      <c r="M37" s="420"/>
      <c r="N37" s="420"/>
      <c r="O37" s="421"/>
      <c r="P37" s="411"/>
      <c r="Q37" s="411"/>
      <c r="R37" s="411"/>
      <c r="S37" s="411"/>
      <c r="T37" s="411"/>
      <c r="U37" s="412"/>
      <c r="V37" s="410"/>
      <c r="W37" s="411"/>
      <c r="X37" s="411"/>
      <c r="Y37" s="411"/>
      <c r="Z37" s="411"/>
      <c r="AA37" s="412"/>
      <c r="AB37" s="395"/>
      <c r="AC37" s="396"/>
      <c r="AD37" s="396"/>
      <c r="AE37" s="396"/>
      <c r="AF37" s="396"/>
      <c r="AG37" s="397"/>
      <c r="AH37" s="401"/>
      <c r="AI37" s="402"/>
      <c r="AJ37" s="402"/>
      <c r="AK37" s="402"/>
      <c r="AL37" s="402"/>
      <c r="AM37" s="403"/>
      <c r="AN37" s="41"/>
      <c r="AO37" s="375"/>
      <c r="AP37" s="376"/>
      <c r="AQ37" s="376"/>
      <c r="AR37" s="376"/>
      <c r="AS37" s="376"/>
      <c r="AT37" s="377"/>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row>
    <row r="38" spans="1:80" x14ac:dyDescent="0.25">
      <c r="A38" s="41"/>
      <c r="B38" s="340"/>
      <c r="C38" s="340"/>
      <c r="D38" s="341"/>
      <c r="E38" s="378" t="s">
        <v>119</v>
      </c>
      <c r="F38" s="379"/>
      <c r="G38" s="379"/>
      <c r="H38" s="379"/>
      <c r="I38" s="380"/>
      <c r="J38" s="422" t="str">
        <f>IF(AND('Mapa de Riesgos'!$I$11="Muy Baja",'Mapa de Riesgos'!$M$11="Leve"),CONCATENATE("R",'Mapa de Riesgos'!$A$11),"")</f>
        <v/>
      </c>
      <c r="K38" s="423"/>
      <c r="L38" s="423" t="str">
        <f>IF(AND('Mapa de Riesgos'!$I$29="Muy Baja",'Mapa de Riesgos'!$M$29="Leve"),CONCATENATE("R",'Mapa de Riesgos'!$A$29),"")</f>
        <v/>
      </c>
      <c r="M38" s="423"/>
      <c r="N38" s="423" t="str">
        <f>IF(AND('Mapa de Riesgos'!$I$35="Muy Baja",'Mapa de Riesgos'!$M$35="Leve"),CONCATENATE("R",'Mapa de Riesgos'!$A$35),"")</f>
        <v>R5</v>
      </c>
      <c r="O38" s="424"/>
      <c r="P38" s="422" t="str">
        <f>IF(AND('Mapa de Riesgos'!$I$11="Muy Baja",'Mapa de Riesgos'!$M$11="Menor"),CONCATENATE("R",'Mapa de Riesgos'!$A$11),"")</f>
        <v/>
      </c>
      <c r="Q38" s="423"/>
      <c r="R38" s="423" t="str">
        <f>IF(AND('Mapa de Riesgos'!$I$29="Muy Baja",'Mapa de Riesgos'!$M$29="Menor"),CONCATENATE("R",'Mapa de Riesgos'!$A$29),"")</f>
        <v/>
      </c>
      <c r="S38" s="423"/>
      <c r="T38" s="423" t="str">
        <f>IF(AND('Mapa de Riesgos'!$I$35="Muy Baja",'Mapa de Riesgos'!$M$35="Menor"),CONCATENATE("R",'Mapa de Riesgos'!$A$35),"")</f>
        <v/>
      </c>
      <c r="U38" s="424"/>
      <c r="V38" s="413" t="str">
        <f>IF(AND('Mapa de Riesgos'!$I$11="Muy Baja",'Mapa de Riesgos'!$M$11="Moderado"),CONCATENATE("R",'Mapa de Riesgos'!$A$11),"")</f>
        <v/>
      </c>
      <c r="W38" s="414"/>
      <c r="X38" s="414" t="str">
        <f>IF(AND('Mapa de Riesgos'!$I$29="Muy Baja",'Mapa de Riesgos'!$M$29="Moderado"),CONCATENATE("R",'Mapa de Riesgos'!$A$29),"")</f>
        <v/>
      </c>
      <c r="Y38" s="414"/>
      <c r="Z38" s="414" t="str">
        <f>IF(AND('Mapa de Riesgos'!$I$35="Muy Baja",'Mapa de Riesgos'!$M$35="Moderado"),CONCATENATE("R",'Mapa de Riesgos'!$A$35),"")</f>
        <v/>
      </c>
      <c r="AA38" s="415"/>
      <c r="AB38" s="389" t="str">
        <f>IF(AND('Mapa de Riesgos'!$I$11="Muy Baja",'Mapa de Riesgos'!$M$11="Mayor"),CONCATENATE("R",'Mapa de Riesgos'!$A$11),"")</f>
        <v>R1</v>
      </c>
      <c r="AC38" s="390"/>
      <c r="AD38" s="390" t="str">
        <f>IF(AND('Mapa de Riesgos'!$I$29="Muy Baja",'Mapa de Riesgos'!$M$29="Mayor"),CONCATENATE("R",'Mapa de Riesgos'!$A$29),"")</f>
        <v>R4</v>
      </c>
      <c r="AE38" s="390"/>
      <c r="AF38" s="390" t="str">
        <f>IF(AND('Mapa de Riesgos'!$I$35="Muy Baja",'Mapa de Riesgos'!$M$35="Mayor"),CONCATENATE("R",'Mapa de Riesgos'!$A$35),"")</f>
        <v/>
      </c>
      <c r="AG38" s="392"/>
      <c r="AH38" s="404" t="str">
        <f>IF(AND('Mapa de Riesgos'!$I$11="Muy Baja",'Mapa de Riesgos'!$M$11="Catastrófico"),CONCATENATE("R",'Mapa de Riesgos'!$A$11),"")</f>
        <v/>
      </c>
      <c r="AI38" s="405"/>
      <c r="AJ38" s="405" t="str">
        <f>IF(AND('Mapa de Riesgos'!$I$29="Muy Baja",'Mapa de Riesgos'!$M$29="Catastrófico"),CONCATENATE("R",'Mapa de Riesgos'!$A$29),"")</f>
        <v/>
      </c>
      <c r="AK38" s="405"/>
      <c r="AL38" s="405" t="str">
        <f>IF(AND('Mapa de Riesgos'!$I$35="Muy Baja",'Mapa de Riesgos'!$M$35="Catastrófico"),CONCATENATE("R",'Mapa de Riesgos'!$A$35),"")</f>
        <v/>
      </c>
      <c r="AM38" s="406"/>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row>
    <row r="39" spans="1:80" x14ac:dyDescent="0.25">
      <c r="A39" s="41"/>
      <c r="B39" s="340"/>
      <c r="C39" s="340"/>
      <c r="D39" s="341"/>
      <c r="E39" s="381"/>
      <c r="F39" s="382"/>
      <c r="G39" s="382"/>
      <c r="H39" s="382"/>
      <c r="I39" s="383"/>
      <c r="J39" s="418"/>
      <c r="K39" s="416"/>
      <c r="L39" s="416"/>
      <c r="M39" s="416"/>
      <c r="N39" s="416"/>
      <c r="O39" s="417"/>
      <c r="P39" s="418"/>
      <c r="Q39" s="416"/>
      <c r="R39" s="416"/>
      <c r="S39" s="416"/>
      <c r="T39" s="416"/>
      <c r="U39" s="417"/>
      <c r="V39" s="407"/>
      <c r="W39" s="408"/>
      <c r="X39" s="408"/>
      <c r="Y39" s="408"/>
      <c r="Z39" s="408"/>
      <c r="AA39" s="409"/>
      <c r="AB39" s="391"/>
      <c r="AC39" s="387"/>
      <c r="AD39" s="387"/>
      <c r="AE39" s="387"/>
      <c r="AF39" s="387"/>
      <c r="AG39" s="388"/>
      <c r="AH39" s="398"/>
      <c r="AI39" s="399"/>
      <c r="AJ39" s="399"/>
      <c r="AK39" s="399"/>
      <c r="AL39" s="399"/>
      <c r="AM39" s="400"/>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row>
    <row r="40" spans="1:80" x14ac:dyDescent="0.25">
      <c r="A40" s="41"/>
      <c r="B40" s="340"/>
      <c r="C40" s="340"/>
      <c r="D40" s="341"/>
      <c r="E40" s="381"/>
      <c r="F40" s="382"/>
      <c r="G40" s="382"/>
      <c r="H40" s="382"/>
      <c r="I40" s="383"/>
      <c r="J40" s="418" t="str">
        <f>IF(AND('Mapa de Riesgos'!$I$47="Muy Baja",'Mapa de Riesgos'!$M$47="Leve"),CONCATENATE("R",'Mapa de Riesgos'!$A$47),"")</f>
        <v>R7</v>
      </c>
      <c r="K40" s="416"/>
      <c r="L40" s="416" t="e">
        <f>IF(AND('Mapa de Riesgos'!#REF!="Muy Baja",'Mapa de Riesgos'!#REF!="Leve"),CONCATENATE("R",'Mapa de Riesgos'!#REF!),"")</f>
        <v>#REF!</v>
      </c>
      <c r="M40" s="416"/>
      <c r="N40" s="416" t="str">
        <f>IF(AND('Mapa de Riesgos'!$I$53="Muy Baja",'Mapa de Riesgos'!$M$53="Leve"),CONCATENATE("R",'Mapa de Riesgos'!$A$53),"")</f>
        <v/>
      </c>
      <c r="O40" s="417"/>
      <c r="P40" s="418" t="str">
        <f>IF(AND('Mapa de Riesgos'!$I$47="Muy Baja",'Mapa de Riesgos'!$M$47="Menor"),CONCATENATE("R",'Mapa de Riesgos'!$A$47),"")</f>
        <v/>
      </c>
      <c r="Q40" s="416"/>
      <c r="R40" s="416" t="e">
        <f>IF(AND('Mapa de Riesgos'!#REF!="Muy Baja",'Mapa de Riesgos'!#REF!="Menor"),CONCATENATE("R",'Mapa de Riesgos'!#REF!),"")</f>
        <v>#REF!</v>
      </c>
      <c r="S40" s="416"/>
      <c r="T40" s="416" t="str">
        <f>IF(AND('Mapa de Riesgos'!$I$53="Muy Baja",'Mapa de Riesgos'!$M$53="Menor"),CONCATENATE("R",'Mapa de Riesgos'!$A$53),"")</f>
        <v>R8</v>
      </c>
      <c r="U40" s="417"/>
      <c r="V40" s="407" t="str">
        <f>IF(AND('Mapa de Riesgos'!$I$47="Muy Baja",'Mapa de Riesgos'!$M$47="Moderado"),CONCATENATE("R",'Mapa de Riesgos'!$A$47),"")</f>
        <v/>
      </c>
      <c r="W40" s="408"/>
      <c r="X40" s="408" t="e">
        <f>IF(AND('Mapa de Riesgos'!#REF!="Muy Baja",'Mapa de Riesgos'!#REF!="Moderado"),CONCATENATE("R",'Mapa de Riesgos'!#REF!),"")</f>
        <v>#REF!</v>
      </c>
      <c r="Y40" s="408"/>
      <c r="Z40" s="408" t="str">
        <f>IF(AND('Mapa de Riesgos'!$I$53="Muy Baja",'Mapa de Riesgos'!$M$53="Moderado"),CONCATENATE("R",'Mapa de Riesgos'!$A$53),"")</f>
        <v/>
      </c>
      <c r="AA40" s="409"/>
      <c r="AB40" s="391" t="str">
        <f>IF(AND('Mapa de Riesgos'!$I$47="Muy Baja",'Mapa de Riesgos'!$M$47="Mayor"),CONCATENATE("R",'Mapa de Riesgos'!$A$47),"")</f>
        <v/>
      </c>
      <c r="AC40" s="387"/>
      <c r="AD40" s="387" t="e">
        <f>IF(AND('Mapa de Riesgos'!#REF!="Muy Baja",'Mapa de Riesgos'!#REF!="Mayor"),CONCATENATE("R",'Mapa de Riesgos'!#REF!),"")</f>
        <v>#REF!</v>
      </c>
      <c r="AE40" s="387"/>
      <c r="AF40" s="387" t="str">
        <f>IF(AND('Mapa de Riesgos'!$I$53="Muy Baja",'Mapa de Riesgos'!$M$53="Mayor"),CONCATENATE("R",'Mapa de Riesgos'!$A$53),"")</f>
        <v/>
      </c>
      <c r="AG40" s="388"/>
      <c r="AH40" s="398" t="str">
        <f>IF(AND('Mapa de Riesgos'!$I$47="Muy Baja",'Mapa de Riesgos'!$M$47="Catastrófico"),CONCATENATE("R",'Mapa de Riesgos'!$A$47),"")</f>
        <v/>
      </c>
      <c r="AI40" s="399"/>
      <c r="AJ40" s="399" t="e">
        <f>IF(AND('Mapa de Riesgos'!#REF!="Muy Baja",'Mapa de Riesgos'!#REF!="Catastrófico"),CONCATENATE("R",'Mapa de Riesgos'!#REF!),"")</f>
        <v>#REF!</v>
      </c>
      <c r="AK40" s="399"/>
      <c r="AL40" s="399" t="str">
        <f>IF(AND('Mapa de Riesgos'!$I$53="Muy Baja",'Mapa de Riesgos'!$M$53="Catastrófico"),CONCATENATE("R",'Mapa de Riesgos'!$A$53),"")</f>
        <v/>
      </c>
      <c r="AM40" s="400"/>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row>
    <row r="41" spans="1:80" x14ac:dyDescent="0.25">
      <c r="A41" s="41"/>
      <c r="B41" s="340"/>
      <c r="C41" s="340"/>
      <c r="D41" s="341"/>
      <c r="E41" s="381"/>
      <c r="F41" s="382"/>
      <c r="G41" s="382"/>
      <c r="H41" s="382"/>
      <c r="I41" s="383"/>
      <c r="J41" s="418"/>
      <c r="K41" s="416"/>
      <c r="L41" s="416"/>
      <c r="M41" s="416"/>
      <c r="N41" s="416"/>
      <c r="O41" s="417"/>
      <c r="P41" s="418"/>
      <c r="Q41" s="416"/>
      <c r="R41" s="416"/>
      <c r="S41" s="416"/>
      <c r="T41" s="416"/>
      <c r="U41" s="417"/>
      <c r="V41" s="407"/>
      <c r="W41" s="408"/>
      <c r="X41" s="408"/>
      <c r="Y41" s="408"/>
      <c r="Z41" s="408"/>
      <c r="AA41" s="409"/>
      <c r="AB41" s="391"/>
      <c r="AC41" s="387"/>
      <c r="AD41" s="387"/>
      <c r="AE41" s="387"/>
      <c r="AF41" s="387"/>
      <c r="AG41" s="388"/>
      <c r="AH41" s="398"/>
      <c r="AI41" s="399"/>
      <c r="AJ41" s="399"/>
      <c r="AK41" s="399"/>
      <c r="AL41" s="399"/>
      <c r="AM41" s="400"/>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row>
    <row r="42" spans="1:80" x14ac:dyDescent="0.25">
      <c r="A42" s="41"/>
      <c r="B42" s="340"/>
      <c r="C42" s="340"/>
      <c r="D42" s="341"/>
      <c r="E42" s="381"/>
      <c r="F42" s="382"/>
      <c r="G42" s="382"/>
      <c r="H42" s="382"/>
      <c r="I42" s="383"/>
      <c r="J42" s="418" t="str">
        <f>IF(AND('Mapa de Riesgos'!$I$23="Muy Baja",'Mapa de Riesgos'!$M$23="Leve"),CONCATENATE("R",'Mapa de Riesgos'!$A$23),"")</f>
        <v/>
      </c>
      <c r="K42" s="416"/>
      <c r="L42" s="416" t="str">
        <f>IF(AND('Mapa de Riesgos'!$I$17="Muy Baja",'Mapa de Riesgos'!$M$17="Leve"),CONCATENATE("R",'Mapa de Riesgos'!$A$17),"")</f>
        <v/>
      </c>
      <c r="M42" s="416"/>
      <c r="N42" s="416" t="str">
        <f>IF(AND('Mapa de Riesgos'!$I$59="Muy Baja",'Mapa de Riesgos'!$M$59="Leve"),CONCATENATE("R",'Mapa de Riesgos'!$A$59),"")</f>
        <v>R9</v>
      </c>
      <c r="O42" s="417"/>
      <c r="P42" s="418" t="str">
        <f>IF(AND('Mapa de Riesgos'!$I$23="Muy Baja",'Mapa de Riesgos'!$M$23="Menor"),CONCATENATE("R",'Mapa de Riesgos'!$A$23),"")</f>
        <v/>
      </c>
      <c r="Q42" s="416"/>
      <c r="R42" s="416" t="str">
        <f>IF(AND('Mapa de Riesgos'!$I$17="Muy Baja",'Mapa de Riesgos'!$M$17="Menor"),CONCATENATE("R",'Mapa de Riesgos'!$A$17),"")</f>
        <v/>
      </c>
      <c r="S42" s="416"/>
      <c r="T42" s="416" t="str">
        <f>IF(AND('Mapa de Riesgos'!$I$59="Muy Baja",'Mapa de Riesgos'!$M$59="Menor"),CONCATENATE("R",'Mapa de Riesgos'!$A$59),"")</f>
        <v/>
      </c>
      <c r="U42" s="417"/>
      <c r="V42" s="407" t="str">
        <f>IF(AND('Mapa de Riesgos'!$I$23="Muy Baja",'Mapa de Riesgos'!$M$23="Moderado"),CONCATENATE("R",'Mapa de Riesgos'!$A$23),"")</f>
        <v/>
      </c>
      <c r="W42" s="408"/>
      <c r="X42" s="408" t="str">
        <f>IF(AND('Mapa de Riesgos'!$I$17="Muy Baja",'Mapa de Riesgos'!$M$17="Moderado"),CONCATENATE("R",'Mapa de Riesgos'!$A$17),"")</f>
        <v/>
      </c>
      <c r="Y42" s="408"/>
      <c r="Z42" s="408" t="str">
        <f>IF(AND('Mapa de Riesgos'!$I$59="Muy Baja",'Mapa de Riesgos'!$M$59="Moderado"),CONCATENATE("R",'Mapa de Riesgos'!$A$59),"")</f>
        <v/>
      </c>
      <c r="AA42" s="409"/>
      <c r="AB42" s="391" t="str">
        <f>IF(AND('Mapa de Riesgos'!$I$23="Muy Baja",'Mapa de Riesgos'!$M$23="Mayor"),CONCATENATE("R",'Mapa de Riesgos'!$A$23),"")</f>
        <v/>
      </c>
      <c r="AC42" s="387"/>
      <c r="AD42" s="387" t="str">
        <f>IF(AND('Mapa de Riesgos'!$I$17="Muy Baja",'Mapa de Riesgos'!$M$17="Mayor"),CONCATENATE("R",'Mapa de Riesgos'!$A$17),"")</f>
        <v/>
      </c>
      <c r="AE42" s="387"/>
      <c r="AF42" s="387" t="str">
        <f>IF(AND('Mapa de Riesgos'!$I$59="Muy Baja",'Mapa de Riesgos'!$M$59="Mayor"),CONCATENATE("R",'Mapa de Riesgos'!$A$59),"")</f>
        <v/>
      </c>
      <c r="AG42" s="388"/>
      <c r="AH42" s="398" t="str">
        <f>IF(AND('Mapa de Riesgos'!$I$23="Muy Baja",'Mapa de Riesgos'!$M$23="Catastrófico"),CONCATENATE("R",'Mapa de Riesgos'!$A$23),"")</f>
        <v/>
      </c>
      <c r="AI42" s="399"/>
      <c r="AJ42" s="399" t="str">
        <f>IF(AND('Mapa de Riesgos'!$I$17="Muy Baja",'Mapa de Riesgos'!$M$17="Catastrófico"),CONCATENATE("R",'Mapa de Riesgos'!$A$17),"")</f>
        <v/>
      </c>
      <c r="AK42" s="399"/>
      <c r="AL42" s="399" t="str">
        <f>IF(AND('Mapa de Riesgos'!$I$59="Muy Baja",'Mapa de Riesgos'!$M$59="Catastrófico"),CONCATENATE("R",'Mapa de Riesgos'!$A$59),"")</f>
        <v/>
      </c>
      <c r="AM42" s="400"/>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row>
    <row r="43" spans="1:80" x14ac:dyDescent="0.25">
      <c r="A43" s="41"/>
      <c r="B43" s="340"/>
      <c r="C43" s="340"/>
      <c r="D43" s="341"/>
      <c r="E43" s="381"/>
      <c r="F43" s="382"/>
      <c r="G43" s="382"/>
      <c r="H43" s="382"/>
      <c r="I43" s="383"/>
      <c r="J43" s="418"/>
      <c r="K43" s="416"/>
      <c r="L43" s="416"/>
      <c r="M43" s="416"/>
      <c r="N43" s="416"/>
      <c r="O43" s="417"/>
      <c r="P43" s="418"/>
      <c r="Q43" s="416"/>
      <c r="R43" s="416"/>
      <c r="S43" s="416"/>
      <c r="T43" s="416"/>
      <c r="U43" s="417"/>
      <c r="V43" s="407"/>
      <c r="W43" s="408"/>
      <c r="X43" s="408"/>
      <c r="Y43" s="408"/>
      <c r="Z43" s="408"/>
      <c r="AA43" s="409"/>
      <c r="AB43" s="391"/>
      <c r="AC43" s="387"/>
      <c r="AD43" s="387"/>
      <c r="AE43" s="387"/>
      <c r="AF43" s="387"/>
      <c r="AG43" s="388"/>
      <c r="AH43" s="398"/>
      <c r="AI43" s="399"/>
      <c r="AJ43" s="399"/>
      <c r="AK43" s="399"/>
      <c r="AL43" s="399"/>
      <c r="AM43" s="400"/>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row>
    <row r="44" spans="1:80" x14ac:dyDescent="0.25">
      <c r="A44" s="41"/>
      <c r="B44" s="340"/>
      <c r="C44" s="340"/>
      <c r="D44" s="341"/>
      <c r="E44" s="381"/>
      <c r="F44" s="382"/>
      <c r="G44" s="382"/>
      <c r="H44" s="382"/>
      <c r="I44" s="383"/>
      <c r="J44" s="418" t="str">
        <f>IF(AND('Mapa de Riesgos'!$I$65="Muy Baja",'Mapa de Riesgos'!$M$65="Leve"),CONCATENATE("R",'Mapa de Riesgos'!$A$65),"")</f>
        <v/>
      </c>
      <c r="K44" s="416"/>
      <c r="L44" s="416" t="str">
        <f>IF(AND('Mapa de Riesgos'!$I$83="Muy Baja",'Mapa de Riesgos'!$M$83="Leve"),CONCATENATE("R",'Mapa de Riesgos'!$A$83),"")</f>
        <v/>
      </c>
      <c r="M44" s="416"/>
      <c r="N44" s="416" t="str">
        <f>IF(AND('Mapa de Riesgos'!$I$89="Muy Baja",'Mapa de Riesgos'!$M$89="Leve"),CONCATENATE("R",'Mapa de Riesgos'!$A$89),"")</f>
        <v/>
      </c>
      <c r="O44" s="417"/>
      <c r="P44" s="418" t="str">
        <f>IF(AND('Mapa de Riesgos'!$I$65="Muy Baja",'Mapa de Riesgos'!$M$65="Menor"),CONCATENATE("R",'Mapa de Riesgos'!$A$65),"")</f>
        <v/>
      </c>
      <c r="Q44" s="416"/>
      <c r="R44" s="416" t="str">
        <f>IF(AND('Mapa de Riesgos'!$I$83="Muy Baja",'Mapa de Riesgos'!$M$83="Menor"),CONCATENATE("R",'Mapa de Riesgos'!$A$83),"")</f>
        <v/>
      </c>
      <c r="S44" s="416"/>
      <c r="T44" s="416" t="str">
        <f>IF(AND('Mapa de Riesgos'!$I$89="Muy Baja",'Mapa de Riesgos'!$M$89="Menor"),CONCATENATE("R",'Mapa de Riesgos'!$A$89),"")</f>
        <v/>
      </c>
      <c r="U44" s="417"/>
      <c r="V44" s="407" t="str">
        <f>IF(AND('Mapa de Riesgos'!$I$65="Muy Baja",'Mapa de Riesgos'!$M$65="Moderado"),CONCATENATE("R",'Mapa de Riesgos'!$A$65),"")</f>
        <v/>
      </c>
      <c r="W44" s="408"/>
      <c r="X44" s="408" t="str">
        <f>IF(AND('Mapa de Riesgos'!$I$83="Muy Baja",'Mapa de Riesgos'!$M$83="Moderado"),CONCATENATE("R",'Mapa de Riesgos'!$A$83),"")</f>
        <v/>
      </c>
      <c r="Y44" s="408"/>
      <c r="Z44" s="408" t="str">
        <f>IF(AND('Mapa de Riesgos'!$I$89="Muy Baja",'Mapa de Riesgos'!$M$89="Moderado"),CONCATENATE("R",'Mapa de Riesgos'!$A$89),"")</f>
        <v/>
      </c>
      <c r="AA44" s="409"/>
      <c r="AB44" s="391" t="str">
        <f>IF(AND('Mapa de Riesgos'!$I$65="Muy Baja",'Mapa de Riesgos'!$M$65="Mayor"),CONCATENATE("R",'Mapa de Riesgos'!$A$65),"")</f>
        <v/>
      </c>
      <c r="AC44" s="387"/>
      <c r="AD44" s="387" t="str">
        <f>IF(AND('Mapa de Riesgos'!$I$83="Muy Baja",'Mapa de Riesgos'!$M$83="Mayor"),CONCATENATE("R",'Mapa de Riesgos'!$A$83),"")</f>
        <v/>
      </c>
      <c r="AE44" s="387"/>
      <c r="AF44" s="387" t="str">
        <f>IF(AND('Mapa de Riesgos'!$I$89="Muy Baja",'Mapa de Riesgos'!$M$89="Mayor"),CONCATENATE("R",'Mapa de Riesgos'!$A$89),"")</f>
        <v/>
      </c>
      <c r="AG44" s="388"/>
      <c r="AH44" s="398" t="str">
        <f>IF(AND('Mapa de Riesgos'!$I$65="Muy Baja",'Mapa de Riesgos'!$M$65="Catastrófico"),CONCATENATE("R",'Mapa de Riesgos'!$A$65),"")</f>
        <v/>
      </c>
      <c r="AI44" s="399"/>
      <c r="AJ44" s="399" t="str">
        <f>IF(AND('Mapa de Riesgos'!$I$83="Muy Baja",'Mapa de Riesgos'!$M$83="Catastrófico"),CONCATENATE("R",'Mapa de Riesgos'!$A$83),"")</f>
        <v/>
      </c>
      <c r="AK44" s="399"/>
      <c r="AL44" s="399" t="str">
        <f>IF(AND('Mapa de Riesgos'!$I$89="Muy Baja",'Mapa de Riesgos'!$M$89="Catastrófico"),CONCATENATE("R",'Mapa de Riesgos'!$A$89),"")</f>
        <v/>
      </c>
      <c r="AM44" s="400"/>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row>
    <row r="45" spans="1:80" ht="15.75" thickBot="1" x14ac:dyDescent="0.3">
      <c r="A45" s="41"/>
      <c r="B45" s="340"/>
      <c r="C45" s="340"/>
      <c r="D45" s="341"/>
      <c r="E45" s="384"/>
      <c r="F45" s="385"/>
      <c r="G45" s="385"/>
      <c r="H45" s="385"/>
      <c r="I45" s="386"/>
      <c r="J45" s="419"/>
      <c r="K45" s="420"/>
      <c r="L45" s="420"/>
      <c r="M45" s="420"/>
      <c r="N45" s="420"/>
      <c r="O45" s="421"/>
      <c r="P45" s="419"/>
      <c r="Q45" s="420"/>
      <c r="R45" s="420"/>
      <c r="S45" s="420"/>
      <c r="T45" s="420"/>
      <c r="U45" s="421"/>
      <c r="V45" s="410"/>
      <c r="W45" s="411"/>
      <c r="X45" s="411"/>
      <c r="Y45" s="411"/>
      <c r="Z45" s="411"/>
      <c r="AA45" s="412"/>
      <c r="AB45" s="395"/>
      <c r="AC45" s="396"/>
      <c r="AD45" s="396"/>
      <c r="AE45" s="396"/>
      <c r="AF45" s="396"/>
      <c r="AG45" s="397"/>
      <c r="AH45" s="401"/>
      <c r="AI45" s="402"/>
      <c r="AJ45" s="402"/>
      <c r="AK45" s="402"/>
      <c r="AL45" s="402"/>
      <c r="AM45" s="403"/>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row>
    <row r="46" spans="1:80" x14ac:dyDescent="0.25">
      <c r="A46" s="41"/>
      <c r="B46" s="41"/>
      <c r="C46" s="41"/>
      <c r="D46" s="41"/>
      <c r="E46" s="41"/>
      <c r="F46" s="41"/>
      <c r="G46" s="41"/>
      <c r="H46" s="41"/>
      <c r="I46" s="41"/>
      <c r="J46" s="378" t="s">
        <v>120</v>
      </c>
      <c r="K46" s="379"/>
      <c r="L46" s="379"/>
      <c r="M46" s="379"/>
      <c r="N46" s="379"/>
      <c r="O46" s="380"/>
      <c r="P46" s="378" t="s">
        <v>121</v>
      </c>
      <c r="Q46" s="379"/>
      <c r="R46" s="379"/>
      <c r="S46" s="379"/>
      <c r="T46" s="379"/>
      <c r="U46" s="380"/>
      <c r="V46" s="378" t="s">
        <v>122</v>
      </c>
      <c r="W46" s="379"/>
      <c r="X46" s="379"/>
      <c r="Y46" s="379"/>
      <c r="Z46" s="379"/>
      <c r="AA46" s="380"/>
      <c r="AB46" s="378" t="s">
        <v>123</v>
      </c>
      <c r="AC46" s="394"/>
      <c r="AD46" s="379"/>
      <c r="AE46" s="379"/>
      <c r="AF46" s="379"/>
      <c r="AG46" s="380"/>
      <c r="AH46" s="378" t="s">
        <v>124</v>
      </c>
      <c r="AI46" s="379"/>
      <c r="AJ46" s="379"/>
      <c r="AK46" s="379"/>
      <c r="AL46" s="379"/>
      <c r="AM46" s="380"/>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x14ac:dyDescent="0.25">
      <c r="A47" s="41"/>
      <c r="B47" s="41"/>
      <c r="C47" s="41"/>
      <c r="D47" s="41"/>
      <c r="E47" s="41"/>
      <c r="F47" s="41"/>
      <c r="G47" s="41"/>
      <c r="H47" s="41"/>
      <c r="I47" s="41"/>
      <c r="J47" s="381"/>
      <c r="K47" s="382"/>
      <c r="L47" s="382"/>
      <c r="M47" s="382"/>
      <c r="N47" s="382"/>
      <c r="O47" s="383"/>
      <c r="P47" s="381"/>
      <c r="Q47" s="382"/>
      <c r="R47" s="382"/>
      <c r="S47" s="382"/>
      <c r="T47" s="382"/>
      <c r="U47" s="383"/>
      <c r="V47" s="381"/>
      <c r="W47" s="382"/>
      <c r="X47" s="382"/>
      <c r="Y47" s="382"/>
      <c r="Z47" s="382"/>
      <c r="AA47" s="383"/>
      <c r="AB47" s="381"/>
      <c r="AC47" s="382"/>
      <c r="AD47" s="382"/>
      <c r="AE47" s="382"/>
      <c r="AF47" s="382"/>
      <c r="AG47" s="383"/>
      <c r="AH47" s="381"/>
      <c r="AI47" s="382"/>
      <c r="AJ47" s="382"/>
      <c r="AK47" s="382"/>
      <c r="AL47" s="382"/>
      <c r="AM47" s="383"/>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x14ac:dyDescent="0.25">
      <c r="A48" s="41"/>
      <c r="B48" s="41"/>
      <c r="C48" s="41"/>
      <c r="D48" s="41"/>
      <c r="E48" s="41"/>
      <c r="F48" s="41"/>
      <c r="G48" s="41"/>
      <c r="H48" s="41"/>
      <c r="I48" s="41"/>
      <c r="J48" s="381"/>
      <c r="K48" s="382"/>
      <c r="L48" s="382"/>
      <c r="M48" s="382"/>
      <c r="N48" s="382"/>
      <c r="O48" s="383"/>
      <c r="P48" s="381"/>
      <c r="Q48" s="382"/>
      <c r="R48" s="382"/>
      <c r="S48" s="382"/>
      <c r="T48" s="382"/>
      <c r="U48" s="383"/>
      <c r="V48" s="381"/>
      <c r="W48" s="382"/>
      <c r="X48" s="382"/>
      <c r="Y48" s="382"/>
      <c r="Z48" s="382"/>
      <c r="AA48" s="383"/>
      <c r="AB48" s="381"/>
      <c r="AC48" s="382"/>
      <c r="AD48" s="382"/>
      <c r="AE48" s="382"/>
      <c r="AF48" s="382"/>
      <c r="AG48" s="383"/>
      <c r="AH48" s="381"/>
      <c r="AI48" s="382"/>
      <c r="AJ48" s="382"/>
      <c r="AK48" s="382"/>
      <c r="AL48" s="382"/>
      <c r="AM48" s="383"/>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x14ac:dyDescent="0.25">
      <c r="A49" s="41"/>
      <c r="B49" s="41"/>
      <c r="C49" s="41"/>
      <c r="D49" s="41"/>
      <c r="E49" s="41"/>
      <c r="F49" s="41"/>
      <c r="G49" s="41"/>
      <c r="H49" s="41"/>
      <c r="I49" s="41"/>
      <c r="J49" s="381"/>
      <c r="K49" s="382"/>
      <c r="L49" s="382"/>
      <c r="M49" s="382"/>
      <c r="N49" s="382"/>
      <c r="O49" s="383"/>
      <c r="P49" s="381"/>
      <c r="Q49" s="382"/>
      <c r="R49" s="382"/>
      <c r="S49" s="382"/>
      <c r="T49" s="382"/>
      <c r="U49" s="383"/>
      <c r="V49" s="381"/>
      <c r="W49" s="382"/>
      <c r="X49" s="382"/>
      <c r="Y49" s="382"/>
      <c r="Z49" s="382"/>
      <c r="AA49" s="383"/>
      <c r="AB49" s="381"/>
      <c r="AC49" s="382"/>
      <c r="AD49" s="382"/>
      <c r="AE49" s="382"/>
      <c r="AF49" s="382"/>
      <c r="AG49" s="383"/>
      <c r="AH49" s="381"/>
      <c r="AI49" s="382"/>
      <c r="AJ49" s="382"/>
      <c r="AK49" s="382"/>
      <c r="AL49" s="382"/>
      <c r="AM49" s="383"/>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x14ac:dyDescent="0.25">
      <c r="A50" s="41"/>
      <c r="B50" s="41"/>
      <c r="C50" s="41"/>
      <c r="D50" s="41"/>
      <c r="E50" s="41"/>
      <c r="F50" s="41"/>
      <c r="G50" s="41"/>
      <c r="H50" s="41"/>
      <c r="I50" s="41"/>
      <c r="J50" s="381"/>
      <c r="K50" s="382"/>
      <c r="L50" s="382"/>
      <c r="M50" s="382"/>
      <c r="N50" s="382"/>
      <c r="O50" s="383"/>
      <c r="P50" s="381"/>
      <c r="Q50" s="382"/>
      <c r="R50" s="382"/>
      <c r="S50" s="382"/>
      <c r="T50" s="382"/>
      <c r="U50" s="383"/>
      <c r="V50" s="381"/>
      <c r="W50" s="382"/>
      <c r="X50" s="382"/>
      <c r="Y50" s="382"/>
      <c r="Z50" s="382"/>
      <c r="AA50" s="383"/>
      <c r="AB50" s="381"/>
      <c r="AC50" s="382"/>
      <c r="AD50" s="382"/>
      <c r="AE50" s="382"/>
      <c r="AF50" s="382"/>
      <c r="AG50" s="383"/>
      <c r="AH50" s="381"/>
      <c r="AI50" s="382"/>
      <c r="AJ50" s="382"/>
      <c r="AK50" s="382"/>
      <c r="AL50" s="382"/>
      <c r="AM50" s="383"/>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75" thickBot="1" x14ac:dyDescent="0.3">
      <c r="A51" s="41"/>
      <c r="B51" s="41"/>
      <c r="C51" s="41"/>
      <c r="D51" s="41"/>
      <c r="E51" s="41"/>
      <c r="F51" s="41"/>
      <c r="G51" s="41"/>
      <c r="H51" s="41"/>
      <c r="I51" s="41"/>
      <c r="J51" s="384"/>
      <c r="K51" s="385"/>
      <c r="L51" s="385"/>
      <c r="M51" s="385"/>
      <c r="N51" s="385"/>
      <c r="O51" s="386"/>
      <c r="P51" s="384"/>
      <c r="Q51" s="385"/>
      <c r="R51" s="385"/>
      <c r="S51" s="385"/>
      <c r="T51" s="385"/>
      <c r="U51" s="386"/>
      <c r="V51" s="384"/>
      <c r="W51" s="385"/>
      <c r="X51" s="385"/>
      <c r="Y51" s="385"/>
      <c r="Z51" s="385"/>
      <c r="AA51" s="386"/>
      <c r="AB51" s="384"/>
      <c r="AC51" s="385"/>
      <c r="AD51" s="385"/>
      <c r="AE51" s="385"/>
      <c r="AF51" s="385"/>
      <c r="AG51" s="386"/>
      <c r="AH51" s="384"/>
      <c r="AI51" s="385"/>
      <c r="AJ51" s="385"/>
      <c r="AK51" s="385"/>
      <c r="AL51" s="385"/>
      <c r="AM51" s="386"/>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row>
    <row r="63" spans="1:80"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row>
    <row r="64" spans="1:80"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row>
    <row r="65" spans="1:8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row>
    <row r="66" spans="1:8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row>
    <row r="67" spans="1:8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row>
    <row r="68" spans="1:8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row>
    <row r="69" spans="1:8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row>
    <row r="70" spans="1:8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row>
    <row r="71" spans="1:8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row>
    <row r="72" spans="1:8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row>
    <row r="73" spans="1:8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row>
    <row r="74" spans="1:8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row>
    <row r="75" spans="1:8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row>
    <row r="76" spans="1:8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row>
    <row r="77" spans="1:8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row>
    <row r="78" spans="1:8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row>
    <row r="79" spans="1:8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row>
    <row r="80" spans="1:8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row>
    <row r="81" spans="1:63"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row>
    <row r="82" spans="1:63"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row>
    <row r="83" spans="1:63"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row>
    <row r="84" spans="1:63"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row>
    <row r="85" spans="1:63"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row>
    <row r="86" spans="1:63"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row>
    <row r="87" spans="1:63"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row>
    <row r="88" spans="1:63"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row>
    <row r="89" spans="1:63"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row>
    <row r="90" spans="1:63"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row>
    <row r="91" spans="1:63"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row>
    <row r="92" spans="1:6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row>
    <row r="93" spans="1:63"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row>
    <row r="94" spans="1:63"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row>
    <row r="95" spans="1:63"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row>
    <row r="96" spans="1:6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row>
    <row r="97" spans="1:63"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row>
    <row r="98" spans="1:63"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row>
    <row r="99" spans="1:63"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row>
    <row r="100" spans="1:63"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row>
    <row r="101" spans="1:63"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row>
    <row r="102" spans="1:63"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row>
    <row r="103" spans="1:63"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row>
    <row r="104" spans="1:63"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row>
    <row r="105" spans="1:63"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row>
    <row r="106" spans="1:63"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row>
    <row r="107" spans="1:63"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row>
    <row r="108" spans="1:63"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row>
    <row r="109" spans="1:63"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row>
    <row r="110" spans="1:63"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row>
    <row r="111" spans="1:63"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row>
    <row r="112" spans="1:63"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row>
    <row r="113" spans="1:63"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row>
    <row r="114" spans="1:63"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row>
    <row r="115" spans="1:63"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row>
    <row r="116" spans="1:63"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row>
    <row r="117" spans="1:63"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row>
    <row r="118" spans="1:63"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row>
    <row r="119" spans="1:63"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row>
    <row r="120" spans="1:63"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row>
    <row r="121" spans="1:63"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row>
    <row r="122" spans="1:63" x14ac:dyDescent="0.25">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row>
    <row r="123" spans="1:63" x14ac:dyDescent="0.2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row>
    <row r="124" spans="1:63" x14ac:dyDescent="0.25">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row>
    <row r="125" spans="1:63" x14ac:dyDescent="0.25">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3" x14ac:dyDescent="0.25">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row>
    <row r="127" spans="1:63" x14ac:dyDescent="0.2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3" x14ac:dyDescent="0.25">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2:63" x14ac:dyDescent="0.2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row>
    <row r="130" spans="2:63" x14ac:dyDescent="0.2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row>
    <row r="131" spans="2:63" x14ac:dyDescent="0.2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2:63" x14ac:dyDescent="0.2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row>
    <row r="133" spans="2:63" x14ac:dyDescent="0.2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row>
    <row r="134" spans="2:63" x14ac:dyDescent="0.2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row>
    <row r="135" spans="2:63" x14ac:dyDescent="0.25">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row>
    <row r="136" spans="2:63" x14ac:dyDescent="0.2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row>
    <row r="137" spans="2:63" x14ac:dyDescent="0.25">
      <c r="B137" s="41"/>
      <c r="C137" s="41"/>
      <c r="D137" s="41"/>
      <c r="E137" s="41"/>
      <c r="F137" s="41"/>
      <c r="G137" s="41"/>
      <c r="H137" s="41"/>
      <c r="I137" s="41"/>
    </row>
    <row r="138" spans="2:63" x14ac:dyDescent="0.25">
      <c r="B138" s="41"/>
      <c r="C138" s="41"/>
      <c r="D138" s="41"/>
      <c r="E138" s="41"/>
      <c r="F138" s="41"/>
      <c r="G138" s="41"/>
      <c r="H138" s="41"/>
      <c r="I138" s="41"/>
    </row>
    <row r="139" spans="2:63" x14ac:dyDescent="0.25">
      <c r="B139" s="41"/>
      <c r="C139" s="41"/>
      <c r="D139" s="41"/>
      <c r="E139" s="41"/>
      <c r="F139" s="41"/>
      <c r="G139" s="41"/>
      <c r="H139" s="41"/>
      <c r="I139" s="41"/>
    </row>
    <row r="140" spans="2:63" x14ac:dyDescent="0.25">
      <c r="B140" s="41"/>
      <c r="C140" s="41"/>
      <c r="D140" s="41"/>
      <c r="E140" s="41"/>
      <c r="F140" s="41"/>
      <c r="G140" s="41"/>
      <c r="H140" s="41"/>
      <c r="I140" s="4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D49" sqref="AD49"/>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row>
    <row r="2" spans="1:91" ht="18" customHeight="1" x14ac:dyDescent="0.25">
      <c r="A2" s="41"/>
      <c r="B2" s="451" t="s">
        <v>125</v>
      </c>
      <c r="C2" s="452"/>
      <c r="D2" s="452"/>
      <c r="E2" s="452"/>
      <c r="F2" s="452"/>
      <c r="G2" s="452"/>
      <c r="H2" s="452"/>
      <c r="I2" s="452"/>
      <c r="J2" s="393" t="s">
        <v>17</v>
      </c>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row>
    <row r="3" spans="1:91" ht="18.75" customHeight="1" x14ac:dyDescent="0.25">
      <c r="A3" s="41"/>
      <c r="B3" s="452"/>
      <c r="C3" s="452"/>
      <c r="D3" s="452"/>
      <c r="E3" s="452"/>
      <c r="F3" s="452"/>
      <c r="G3" s="452"/>
      <c r="H3" s="452"/>
      <c r="I3" s="452"/>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row>
    <row r="4" spans="1:91" ht="15" customHeight="1" x14ac:dyDescent="0.25">
      <c r="A4" s="41"/>
      <c r="B4" s="452"/>
      <c r="C4" s="452"/>
      <c r="D4" s="452"/>
      <c r="E4" s="452"/>
      <c r="F4" s="452"/>
      <c r="G4" s="452"/>
      <c r="H4" s="452"/>
      <c r="I4" s="452"/>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row>
    <row r="5" spans="1:91"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row>
    <row r="6" spans="1:91" ht="15" customHeight="1" x14ac:dyDescent="0.25">
      <c r="A6" s="41"/>
      <c r="B6" s="340" t="s">
        <v>110</v>
      </c>
      <c r="C6" s="340"/>
      <c r="D6" s="341"/>
      <c r="E6" s="435" t="s">
        <v>111</v>
      </c>
      <c r="F6" s="436"/>
      <c r="G6" s="436"/>
      <c r="H6" s="436"/>
      <c r="I6" s="453"/>
      <c r="J6" s="4" t="str">
        <f>IF(AND('Mapa de Riesgos'!$Z$11="Muy Alta",'Mapa de Riesgos'!$AB$11="Leve"),CONCATENATE("R1C",'Mapa de Riesgos'!$P$11),"")</f>
        <v/>
      </c>
      <c r="K6" s="5" t="str">
        <f>IF(AND('Mapa de Riesgos'!$Z$12="Muy Alta",'Mapa de Riesgos'!$AB$12="Leve"),CONCATENATE("R1C",'Mapa de Riesgos'!$P$12),"")</f>
        <v/>
      </c>
      <c r="L6" s="5" t="str">
        <f>IF(AND('Mapa de Riesgos'!$Z$13="Muy Alta",'Mapa de Riesgos'!$AB$13="Leve"),CONCATENATE("R1C",'Mapa de Riesgos'!$P$13),"")</f>
        <v/>
      </c>
      <c r="M6" s="5" t="str">
        <f>IF(AND('Mapa de Riesgos'!$Z$14="Muy Alta",'Mapa de Riesgos'!$AB$14="Leve"),CONCATENATE("R1C",'Mapa de Riesgos'!$P$14),"")</f>
        <v/>
      </c>
      <c r="N6" s="5" t="str">
        <f>IF(AND('Mapa de Riesgos'!$Z$15="Muy Alta",'Mapa de Riesgos'!$AB$15="Leve"),CONCATENATE("R1C",'Mapa de Riesgos'!$P$15),"")</f>
        <v/>
      </c>
      <c r="O6" s="6" t="str">
        <f>IF(AND('Mapa de Riesgos'!$Z$16="Muy Alta",'Mapa de Riesgos'!$AB$16="Leve"),CONCATENATE("R1C",'Mapa de Riesgos'!$P$16),"")</f>
        <v/>
      </c>
      <c r="P6" s="4" t="str">
        <f>IF(AND('Mapa de Riesgos'!$Z$11="Muy Alta",'Mapa de Riesgos'!$AB$11="Menor"),CONCATENATE("R1C",'Mapa de Riesgos'!$P$11),"")</f>
        <v/>
      </c>
      <c r="Q6" s="5" t="str">
        <f>IF(AND('Mapa de Riesgos'!$Z$12="Muy Alta",'Mapa de Riesgos'!$AB$12="Menor"),CONCATENATE("R1C",'Mapa de Riesgos'!$P$12),"")</f>
        <v/>
      </c>
      <c r="R6" s="5" t="str">
        <f>IF(AND('Mapa de Riesgos'!$Z$13="Muy Alta",'Mapa de Riesgos'!$AB$13="Menor"),CONCATENATE("R1C",'Mapa de Riesgos'!$P$13),"")</f>
        <v/>
      </c>
      <c r="S6" s="5" t="str">
        <f>IF(AND('Mapa de Riesgos'!$Z$14="Muy Alta",'Mapa de Riesgos'!$AB$14="Menor"),CONCATENATE("R1C",'Mapa de Riesgos'!$P$14),"")</f>
        <v/>
      </c>
      <c r="T6" s="5" t="str">
        <f>IF(AND('Mapa de Riesgos'!$Z$15="Muy Alta",'Mapa de Riesgos'!$AB$15="Menor"),CONCATENATE("R1C",'Mapa de Riesgos'!$P$15),"")</f>
        <v/>
      </c>
      <c r="U6" s="6" t="str">
        <f>IF(AND('Mapa de Riesgos'!$Z$16="Muy Alta",'Mapa de Riesgos'!$AB$16="Menor"),CONCATENATE("R1C",'Mapa de Riesgos'!$P$16),"")</f>
        <v/>
      </c>
      <c r="V6" s="4" t="str">
        <f>IF(AND('Mapa de Riesgos'!$Z$11="Muy Alta",'Mapa de Riesgos'!$AB$11="Moderado"),CONCATENATE("R1C",'Mapa de Riesgos'!$P$11),"")</f>
        <v/>
      </c>
      <c r="W6" s="5" t="str">
        <f>IF(AND('Mapa de Riesgos'!$Z$12="Muy Alta",'Mapa de Riesgos'!$AB$12="Moderado"),CONCATENATE("R1C",'Mapa de Riesgos'!$P$12),"")</f>
        <v/>
      </c>
      <c r="X6" s="5" t="str">
        <f>IF(AND('Mapa de Riesgos'!$Z$13="Muy Alta",'Mapa de Riesgos'!$AB$13="Moderado"),CONCATENATE("R1C",'Mapa de Riesgos'!$P$13),"")</f>
        <v/>
      </c>
      <c r="Y6" s="5" t="str">
        <f>IF(AND('Mapa de Riesgos'!$Z$14="Muy Alta",'Mapa de Riesgos'!$AB$14="Moderado"),CONCATENATE("R1C",'Mapa de Riesgos'!$P$14),"")</f>
        <v/>
      </c>
      <c r="Z6" s="5" t="str">
        <f>IF(AND('Mapa de Riesgos'!$Z$15="Muy Alta",'Mapa de Riesgos'!$AB$15="Moderado"),CONCATENATE("R1C",'Mapa de Riesgos'!$P$15),"")</f>
        <v/>
      </c>
      <c r="AA6" s="6" t="str">
        <f>IF(AND('Mapa de Riesgos'!$Z$16="Muy Alta",'Mapa de Riesgos'!$AB$16="Moderado"),CONCATENATE("R1C",'Mapa de Riesgos'!$P$16),"")</f>
        <v/>
      </c>
      <c r="AB6" s="4" t="str">
        <f>IF(AND('Mapa de Riesgos'!$Z$11="Muy Alta",'Mapa de Riesgos'!$AB$11="Mayor"),CONCATENATE("R1C",'Mapa de Riesgos'!$P$11),"")</f>
        <v/>
      </c>
      <c r="AC6" s="5" t="str">
        <f>IF(AND('Mapa de Riesgos'!$Z$12="Muy Alta",'Mapa de Riesgos'!$AB$12="Mayor"),CONCATENATE("R1C",'Mapa de Riesgos'!$P$12),"")</f>
        <v/>
      </c>
      <c r="AD6" s="5" t="str">
        <f>IF(AND('Mapa de Riesgos'!$Z$13="Muy Alta",'Mapa de Riesgos'!$AB$13="Mayor"),CONCATENATE("R1C",'Mapa de Riesgos'!$P$13),"")</f>
        <v/>
      </c>
      <c r="AE6" s="5" t="str">
        <f>IF(AND('Mapa de Riesgos'!$Z$14="Muy Alta",'Mapa de Riesgos'!$AB$14="Mayor"),CONCATENATE("R1C",'Mapa de Riesgos'!$P$14),"")</f>
        <v/>
      </c>
      <c r="AF6" s="5" t="str">
        <f>IF(AND('Mapa de Riesgos'!$Z$15="Muy Alta",'Mapa de Riesgos'!$AB$15="Mayor"),CONCATENATE("R1C",'Mapa de Riesgos'!$P$15),"")</f>
        <v/>
      </c>
      <c r="AG6" s="6" t="str">
        <f>IF(AND('Mapa de Riesgos'!$Z$16="Muy Alta",'Mapa de Riesgos'!$AB$16="Mayor"),CONCATENATE("R1C",'Mapa de Riesgos'!$P$16),"")</f>
        <v/>
      </c>
      <c r="AH6" s="7" t="str">
        <f>IF(AND('Mapa de Riesgos'!$Z$11="Muy Alta",'Mapa de Riesgos'!$AB$11="Catastrófico"),CONCATENATE("R1C",'Mapa de Riesgos'!$P$11),"")</f>
        <v/>
      </c>
      <c r="AI6" s="8" t="str">
        <f>IF(AND('Mapa de Riesgos'!$Z$12="Muy Alta",'Mapa de Riesgos'!$AB$12="Catastrófico"),CONCATENATE("R1C",'Mapa de Riesgos'!$P$12),"")</f>
        <v/>
      </c>
      <c r="AJ6" s="8" t="str">
        <f>IF(AND('Mapa de Riesgos'!$Z$13="Muy Alta",'Mapa de Riesgos'!$AB$13="Catastrófico"),CONCATENATE("R1C",'Mapa de Riesgos'!$P$13),"")</f>
        <v/>
      </c>
      <c r="AK6" s="8" t="str">
        <f>IF(AND('Mapa de Riesgos'!$Z$14="Muy Alta",'Mapa de Riesgos'!$AB$14="Catastrófico"),CONCATENATE("R1C",'Mapa de Riesgos'!$P$14),"")</f>
        <v/>
      </c>
      <c r="AL6" s="8" t="str">
        <f>IF(AND('Mapa de Riesgos'!$Z$15="Muy Alta",'Mapa de Riesgos'!$AB$15="Catastrófico"),CONCATENATE("R1C",'Mapa de Riesgos'!$P$15),"")</f>
        <v/>
      </c>
      <c r="AM6" s="9" t="str">
        <f>IF(AND('Mapa de Riesgos'!$Z$16="Muy Alta",'Mapa de Riesgos'!$AB$16="Catastrófico"),CONCATENATE("R1C",'Mapa de Riesgos'!$P$16),"")</f>
        <v/>
      </c>
      <c r="AN6" s="41"/>
      <c r="AO6" s="442" t="s">
        <v>112</v>
      </c>
      <c r="AP6" s="443"/>
      <c r="AQ6" s="443"/>
      <c r="AR6" s="443"/>
      <c r="AS6" s="443"/>
      <c r="AT6" s="444"/>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row>
    <row r="7" spans="1:91" ht="15" customHeight="1" x14ac:dyDescent="0.25">
      <c r="A7" s="41"/>
      <c r="B7" s="340"/>
      <c r="C7" s="340"/>
      <c r="D7" s="341"/>
      <c r="E7" s="439"/>
      <c r="F7" s="438"/>
      <c r="G7" s="438"/>
      <c r="H7" s="438"/>
      <c r="I7" s="454"/>
      <c r="J7" s="10" t="str">
        <f>IF(AND('Mapa de Riesgos'!$Z$29="Muy Alta",'Mapa de Riesgos'!$AB$29="Leve"),CONCATENATE("R2C",'Mapa de Riesgos'!$P$29),"")</f>
        <v/>
      </c>
      <c r="K7" s="11" t="str">
        <f>IF(AND('Mapa de Riesgos'!$Z$30="Muy Alta",'Mapa de Riesgos'!$AB$30="Leve"),CONCATENATE("R2C",'Mapa de Riesgos'!$P$30),"")</f>
        <v/>
      </c>
      <c r="L7" s="11" t="str">
        <f>IF(AND('Mapa de Riesgos'!$Z$31="Muy Alta",'Mapa de Riesgos'!$AB$31="Leve"),CONCATENATE("R2C",'Mapa de Riesgos'!$P$31),"")</f>
        <v/>
      </c>
      <c r="M7" s="11" t="str">
        <f>IF(AND('Mapa de Riesgos'!$Z$32="Muy Alta",'Mapa de Riesgos'!$AB$32="Leve"),CONCATENATE("R2C",'Mapa de Riesgos'!$P$32),"")</f>
        <v/>
      </c>
      <c r="N7" s="11" t="str">
        <f>IF(AND('Mapa de Riesgos'!$Z$33="Muy Alta",'Mapa de Riesgos'!$AB$33="Leve"),CONCATENATE("R2C",'Mapa de Riesgos'!$P$33),"")</f>
        <v/>
      </c>
      <c r="O7" s="12" t="str">
        <f>IF(AND('Mapa de Riesgos'!$Z$34="Muy Alta",'Mapa de Riesgos'!$AB$34="Leve"),CONCATENATE("R2C",'Mapa de Riesgos'!$P$34),"")</f>
        <v/>
      </c>
      <c r="P7" s="10" t="str">
        <f>IF(AND('Mapa de Riesgos'!$Z$29="Muy Alta",'Mapa de Riesgos'!$AB$29="Menor"),CONCATENATE("R2C",'Mapa de Riesgos'!$P$29),"")</f>
        <v/>
      </c>
      <c r="Q7" s="11" t="str">
        <f>IF(AND('Mapa de Riesgos'!$Z$30="Muy Alta",'Mapa de Riesgos'!$AB$30="Menor"),CONCATENATE("R2C",'Mapa de Riesgos'!$P$30),"")</f>
        <v/>
      </c>
      <c r="R7" s="11" t="str">
        <f>IF(AND('Mapa de Riesgos'!$Z$31="Muy Alta",'Mapa de Riesgos'!$AB$31="Menor"),CONCATENATE("R2C",'Mapa de Riesgos'!$P$31),"")</f>
        <v/>
      </c>
      <c r="S7" s="11" t="str">
        <f>IF(AND('Mapa de Riesgos'!$Z$32="Muy Alta",'Mapa de Riesgos'!$AB$32="Menor"),CONCATENATE("R2C",'Mapa de Riesgos'!$P$32),"")</f>
        <v/>
      </c>
      <c r="T7" s="11" t="str">
        <f>IF(AND('Mapa de Riesgos'!$Z$33="Muy Alta",'Mapa de Riesgos'!$AB$33="Menor"),CONCATENATE("R2C",'Mapa de Riesgos'!$P$33),"")</f>
        <v/>
      </c>
      <c r="U7" s="12" t="str">
        <f>IF(AND('Mapa de Riesgos'!$Z$34="Muy Alta",'Mapa de Riesgos'!$AB$34="Menor"),CONCATENATE("R2C",'Mapa de Riesgos'!$P$34),"")</f>
        <v/>
      </c>
      <c r="V7" s="10" t="str">
        <f>IF(AND('Mapa de Riesgos'!$Z$29="Muy Alta",'Mapa de Riesgos'!$AB$29="Moderado"),CONCATENATE("R2C",'Mapa de Riesgos'!$P$29),"")</f>
        <v/>
      </c>
      <c r="W7" s="11" t="str">
        <f>IF(AND('Mapa de Riesgos'!$Z$30="Muy Alta",'Mapa de Riesgos'!$AB$30="Moderado"),CONCATENATE("R2C",'Mapa de Riesgos'!$P$30),"")</f>
        <v/>
      </c>
      <c r="X7" s="11" t="str">
        <f>IF(AND('Mapa de Riesgos'!$Z$31="Muy Alta",'Mapa de Riesgos'!$AB$31="Moderado"),CONCATENATE("R2C",'Mapa de Riesgos'!$P$31),"")</f>
        <v/>
      </c>
      <c r="Y7" s="11" t="str">
        <f>IF(AND('Mapa de Riesgos'!$Z$32="Muy Alta",'Mapa de Riesgos'!$AB$32="Moderado"),CONCATENATE("R2C",'Mapa de Riesgos'!$P$32),"")</f>
        <v/>
      </c>
      <c r="Z7" s="11" t="str">
        <f>IF(AND('Mapa de Riesgos'!$Z$33="Muy Alta",'Mapa de Riesgos'!$AB$33="Moderado"),CONCATENATE("R2C",'Mapa de Riesgos'!$P$33),"")</f>
        <v/>
      </c>
      <c r="AA7" s="12" t="str">
        <f>IF(AND('Mapa de Riesgos'!$Z$34="Muy Alta",'Mapa de Riesgos'!$AB$34="Moderado"),CONCATENATE("R2C",'Mapa de Riesgos'!$P$34),"")</f>
        <v/>
      </c>
      <c r="AB7" s="10" t="str">
        <f>IF(AND('Mapa de Riesgos'!$Z$29="Muy Alta",'Mapa de Riesgos'!$AB$29="Mayor"),CONCATENATE("R2C",'Mapa de Riesgos'!$P$29),"")</f>
        <v/>
      </c>
      <c r="AC7" s="11" t="str">
        <f>IF(AND('Mapa de Riesgos'!$Z$30="Muy Alta",'Mapa de Riesgos'!$AB$30="Mayor"),CONCATENATE("R2C",'Mapa de Riesgos'!$P$30),"")</f>
        <v/>
      </c>
      <c r="AD7" s="11" t="str">
        <f>IF(AND('Mapa de Riesgos'!$Z$31="Muy Alta",'Mapa de Riesgos'!$AB$31="Mayor"),CONCATENATE("R2C",'Mapa de Riesgos'!$P$31),"")</f>
        <v/>
      </c>
      <c r="AE7" s="11" t="str">
        <f>IF(AND('Mapa de Riesgos'!$Z$32="Muy Alta",'Mapa de Riesgos'!$AB$32="Mayor"),CONCATENATE("R2C",'Mapa de Riesgos'!$P$32),"")</f>
        <v/>
      </c>
      <c r="AF7" s="11" t="str">
        <f>IF(AND('Mapa de Riesgos'!$Z$33="Muy Alta",'Mapa de Riesgos'!$AB$33="Mayor"),CONCATENATE("R2C",'Mapa de Riesgos'!$P$33),"")</f>
        <v/>
      </c>
      <c r="AG7" s="12" t="str">
        <f>IF(AND('Mapa de Riesgos'!$Z$34="Muy Alta",'Mapa de Riesgos'!$AB$34="Mayor"),CONCATENATE("R2C",'Mapa de Riesgos'!$P$34),"")</f>
        <v/>
      </c>
      <c r="AH7" s="13" t="str">
        <f>IF(AND('Mapa de Riesgos'!$Z$29="Muy Alta",'Mapa de Riesgos'!$AB$29="Catastrófico"),CONCATENATE("R2C",'Mapa de Riesgos'!$P$29),"")</f>
        <v/>
      </c>
      <c r="AI7" s="14" t="str">
        <f>IF(AND('Mapa de Riesgos'!$Z$30="Muy Alta",'Mapa de Riesgos'!$AB$30="Catastrófico"),CONCATENATE("R2C",'Mapa de Riesgos'!$P$30),"")</f>
        <v/>
      </c>
      <c r="AJ7" s="14" t="str">
        <f>IF(AND('Mapa de Riesgos'!$Z$31="Muy Alta",'Mapa de Riesgos'!$AB$31="Catastrófico"),CONCATENATE("R2C",'Mapa de Riesgos'!$P$31),"")</f>
        <v/>
      </c>
      <c r="AK7" s="14" t="str">
        <f>IF(AND('Mapa de Riesgos'!$Z$32="Muy Alta",'Mapa de Riesgos'!$AB$32="Catastrófico"),CONCATENATE("R2C",'Mapa de Riesgos'!$P$32),"")</f>
        <v/>
      </c>
      <c r="AL7" s="14" t="str">
        <f>IF(AND('Mapa de Riesgos'!$Z$33="Muy Alta",'Mapa de Riesgos'!$AB$33="Catastrófico"),CONCATENATE("R2C",'Mapa de Riesgos'!$P$33),"")</f>
        <v/>
      </c>
      <c r="AM7" s="15" t="str">
        <f>IF(AND('Mapa de Riesgos'!$Z$34="Muy Alta",'Mapa de Riesgos'!$AB$34="Catastrófico"),CONCATENATE("R2C",'Mapa de Riesgos'!$P$34),"")</f>
        <v/>
      </c>
      <c r="AN7" s="41"/>
      <c r="AO7" s="445"/>
      <c r="AP7" s="446"/>
      <c r="AQ7" s="446"/>
      <c r="AR7" s="446"/>
      <c r="AS7" s="446"/>
      <c r="AT7" s="447"/>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row>
    <row r="8" spans="1:91" ht="15" customHeight="1" x14ac:dyDescent="0.25">
      <c r="A8" s="41"/>
      <c r="B8" s="340"/>
      <c r="C8" s="340"/>
      <c r="D8" s="341"/>
      <c r="E8" s="439"/>
      <c r="F8" s="438"/>
      <c r="G8" s="438"/>
      <c r="H8" s="438"/>
      <c r="I8" s="454"/>
      <c r="J8" s="10" t="str">
        <f>IF(AND('Mapa de Riesgos'!$Z$35="Muy Alta",'Mapa de Riesgos'!$AB$35="Leve"),CONCATENATE("R3C",'Mapa de Riesgos'!$P$35),"")</f>
        <v/>
      </c>
      <c r="K8" s="11" t="str">
        <f>IF(AND('Mapa de Riesgos'!$Z$36="Muy Alta",'Mapa de Riesgos'!$AB$36="Leve"),CONCATENATE("R3C",'Mapa de Riesgos'!$P$36),"")</f>
        <v/>
      </c>
      <c r="L8" s="11" t="str">
        <f>IF(AND('Mapa de Riesgos'!$Z$37="Muy Alta",'Mapa de Riesgos'!$AB$37="Leve"),CONCATENATE("R3C",'Mapa de Riesgos'!$P$37),"")</f>
        <v/>
      </c>
      <c r="M8" s="11" t="str">
        <f>IF(AND('Mapa de Riesgos'!$Z$38="Muy Alta",'Mapa de Riesgos'!$AB$38="Leve"),CONCATENATE("R3C",'Mapa de Riesgos'!$P$38),"")</f>
        <v/>
      </c>
      <c r="N8" s="11" t="str">
        <f>IF(AND('Mapa de Riesgos'!$Z$39="Muy Alta",'Mapa de Riesgos'!$AB$39="Leve"),CONCATENATE("R3C",'Mapa de Riesgos'!$P$39),"")</f>
        <v/>
      </c>
      <c r="O8" s="12" t="str">
        <f>IF(AND('Mapa de Riesgos'!$Z$40="Muy Alta",'Mapa de Riesgos'!$AB$40="Leve"),CONCATENATE("R3C",'Mapa de Riesgos'!$P$40),"")</f>
        <v/>
      </c>
      <c r="P8" s="10" t="str">
        <f>IF(AND('Mapa de Riesgos'!$Z$35="Muy Alta",'Mapa de Riesgos'!$AB$35="Menor"),CONCATENATE("R3C",'Mapa de Riesgos'!$P$35),"")</f>
        <v/>
      </c>
      <c r="Q8" s="11" t="str">
        <f>IF(AND('Mapa de Riesgos'!$Z$36="Muy Alta",'Mapa de Riesgos'!$AB$36="Menor"),CONCATENATE("R3C",'Mapa de Riesgos'!$P$36),"")</f>
        <v/>
      </c>
      <c r="R8" s="11" t="str">
        <f>IF(AND('Mapa de Riesgos'!$Z$37="Muy Alta",'Mapa de Riesgos'!$AB$37="Menor"),CONCATENATE("R3C",'Mapa de Riesgos'!$P$37),"")</f>
        <v/>
      </c>
      <c r="S8" s="11" t="str">
        <f>IF(AND('Mapa de Riesgos'!$Z$38="Muy Alta",'Mapa de Riesgos'!$AB$38="Menor"),CONCATENATE("R3C",'Mapa de Riesgos'!$P$38),"")</f>
        <v/>
      </c>
      <c r="T8" s="11" t="str">
        <f>IF(AND('Mapa de Riesgos'!$Z$39="Muy Alta",'Mapa de Riesgos'!$AB$39="Menor"),CONCATENATE("R3C",'Mapa de Riesgos'!$P$39),"")</f>
        <v/>
      </c>
      <c r="U8" s="12" t="str">
        <f>IF(AND('Mapa de Riesgos'!$Z$40="Muy Alta",'Mapa de Riesgos'!$AB$40="Menor"),CONCATENATE("R3C",'Mapa de Riesgos'!$P$40),"")</f>
        <v/>
      </c>
      <c r="V8" s="10" t="str">
        <f>IF(AND('Mapa de Riesgos'!$Z$35="Muy Alta",'Mapa de Riesgos'!$AB$35="Moderado"),CONCATENATE("R3C",'Mapa de Riesgos'!$P$35),"")</f>
        <v/>
      </c>
      <c r="W8" s="11" t="str">
        <f>IF(AND('Mapa de Riesgos'!$Z$36="Muy Alta",'Mapa de Riesgos'!$AB$36="Moderado"),CONCATENATE("R3C",'Mapa de Riesgos'!$P$36),"")</f>
        <v/>
      </c>
      <c r="X8" s="11" t="str">
        <f>IF(AND('Mapa de Riesgos'!$Z$37="Muy Alta",'Mapa de Riesgos'!$AB$37="Moderado"),CONCATENATE("R3C",'Mapa de Riesgos'!$P$37),"")</f>
        <v/>
      </c>
      <c r="Y8" s="11" t="str">
        <f>IF(AND('Mapa de Riesgos'!$Z$38="Muy Alta",'Mapa de Riesgos'!$AB$38="Moderado"),CONCATENATE("R3C",'Mapa de Riesgos'!$P$38),"")</f>
        <v/>
      </c>
      <c r="Z8" s="11" t="str">
        <f>IF(AND('Mapa de Riesgos'!$Z$39="Muy Alta",'Mapa de Riesgos'!$AB$39="Moderado"),CONCATENATE("R3C",'Mapa de Riesgos'!$P$39),"")</f>
        <v/>
      </c>
      <c r="AA8" s="12" t="str">
        <f>IF(AND('Mapa de Riesgos'!$Z$40="Muy Alta",'Mapa de Riesgos'!$AB$40="Moderado"),CONCATENATE("R3C",'Mapa de Riesgos'!$P$40),"")</f>
        <v/>
      </c>
      <c r="AB8" s="10" t="str">
        <f>IF(AND('Mapa de Riesgos'!$Z$35="Muy Alta",'Mapa de Riesgos'!$AB$35="Mayor"),CONCATENATE("R3C",'Mapa de Riesgos'!$P$35),"")</f>
        <v/>
      </c>
      <c r="AC8" s="11" t="str">
        <f>IF(AND('Mapa de Riesgos'!$Z$36="Muy Alta",'Mapa de Riesgos'!$AB$36="Mayor"),CONCATENATE("R3C",'Mapa de Riesgos'!$P$36),"")</f>
        <v/>
      </c>
      <c r="AD8" s="11" t="str">
        <f>IF(AND('Mapa de Riesgos'!$Z$37="Muy Alta",'Mapa de Riesgos'!$AB$37="Mayor"),CONCATENATE("R3C",'Mapa de Riesgos'!$P$37),"")</f>
        <v/>
      </c>
      <c r="AE8" s="11" t="str">
        <f>IF(AND('Mapa de Riesgos'!$Z$38="Muy Alta",'Mapa de Riesgos'!$AB$38="Mayor"),CONCATENATE("R3C",'Mapa de Riesgos'!$P$38),"")</f>
        <v/>
      </c>
      <c r="AF8" s="11" t="str">
        <f>IF(AND('Mapa de Riesgos'!$Z$39="Muy Alta",'Mapa de Riesgos'!$AB$39="Mayor"),CONCATENATE("R3C",'Mapa de Riesgos'!$P$39),"")</f>
        <v/>
      </c>
      <c r="AG8" s="12" t="str">
        <f>IF(AND('Mapa de Riesgos'!$Z$40="Muy Alta",'Mapa de Riesgos'!$AB$40="Mayor"),CONCATENATE("R3C",'Mapa de Riesgos'!$P$40),"")</f>
        <v/>
      </c>
      <c r="AH8" s="13" t="str">
        <f>IF(AND('Mapa de Riesgos'!$Z$35="Muy Alta",'Mapa de Riesgos'!$AB$35="Catastrófico"),CONCATENATE("R3C",'Mapa de Riesgos'!$P$35),"")</f>
        <v/>
      </c>
      <c r="AI8" s="14" t="str">
        <f>IF(AND('Mapa de Riesgos'!$Z$36="Muy Alta",'Mapa de Riesgos'!$AB$36="Catastrófico"),CONCATENATE("R3C",'Mapa de Riesgos'!$P$36),"")</f>
        <v/>
      </c>
      <c r="AJ8" s="14" t="str">
        <f>IF(AND('Mapa de Riesgos'!$Z$37="Muy Alta",'Mapa de Riesgos'!$AB$37="Catastrófico"),CONCATENATE("R3C",'Mapa de Riesgos'!$P$37),"")</f>
        <v/>
      </c>
      <c r="AK8" s="14" t="str">
        <f>IF(AND('Mapa de Riesgos'!$Z$38="Muy Alta",'Mapa de Riesgos'!$AB$38="Catastrófico"),CONCATENATE("R3C",'Mapa de Riesgos'!$P$38),"")</f>
        <v/>
      </c>
      <c r="AL8" s="14" t="str">
        <f>IF(AND('Mapa de Riesgos'!$Z$39="Muy Alta",'Mapa de Riesgos'!$AB$39="Catastrófico"),CONCATENATE("R3C",'Mapa de Riesgos'!$P$39),"")</f>
        <v/>
      </c>
      <c r="AM8" s="15" t="str">
        <f>IF(AND('Mapa de Riesgos'!$Z$40="Muy Alta",'Mapa de Riesgos'!$AB$40="Catastrófico"),CONCATENATE("R3C",'Mapa de Riesgos'!$P$40),"")</f>
        <v/>
      </c>
      <c r="AN8" s="41"/>
      <c r="AO8" s="445"/>
      <c r="AP8" s="446"/>
      <c r="AQ8" s="446"/>
      <c r="AR8" s="446"/>
      <c r="AS8" s="446"/>
      <c r="AT8" s="447"/>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row>
    <row r="9" spans="1:91" ht="15" customHeight="1" x14ac:dyDescent="0.25">
      <c r="A9" s="41"/>
      <c r="B9" s="340"/>
      <c r="C9" s="340"/>
      <c r="D9" s="341"/>
      <c r="E9" s="439"/>
      <c r="F9" s="438"/>
      <c r="G9" s="438"/>
      <c r="H9" s="438"/>
      <c r="I9" s="454"/>
      <c r="J9" s="10" t="str">
        <f>IF(AND('Mapa de Riesgos'!$Z$47="Muy Alta",'Mapa de Riesgos'!$AB$47="Leve"),CONCATENATE("R4C",'Mapa de Riesgos'!$P$47),"")</f>
        <v/>
      </c>
      <c r="K9" s="11" t="str">
        <f>IF(AND('Mapa de Riesgos'!$Z$48="Muy Alta",'Mapa de Riesgos'!$AB$48="Leve"),CONCATENATE("R4C",'Mapa de Riesgos'!$P$48),"")</f>
        <v/>
      </c>
      <c r="L9" s="11" t="str">
        <f>IF(AND('Mapa de Riesgos'!$Z$49="Muy Alta",'Mapa de Riesgos'!$AB$49="Leve"),CONCATENATE("R4C",'Mapa de Riesgos'!$P$49),"")</f>
        <v/>
      </c>
      <c r="M9" s="11" t="str">
        <f>IF(AND('Mapa de Riesgos'!$Z$50="Muy Alta",'Mapa de Riesgos'!$AB$50="Leve"),CONCATENATE("R4C",'Mapa de Riesgos'!$P$50),"")</f>
        <v/>
      </c>
      <c r="N9" s="11" t="str">
        <f>IF(AND('Mapa de Riesgos'!$Z$51="Muy Alta",'Mapa de Riesgos'!$AB$51="Leve"),CONCATENATE("R4C",'Mapa de Riesgos'!$P$51),"")</f>
        <v/>
      </c>
      <c r="O9" s="12" t="str">
        <f>IF(AND('Mapa de Riesgos'!$Z$52="Muy Alta",'Mapa de Riesgos'!$AB$52="Leve"),CONCATENATE("R4C",'Mapa de Riesgos'!$P$52),"")</f>
        <v/>
      </c>
      <c r="P9" s="10" t="str">
        <f>IF(AND('Mapa de Riesgos'!$Z$47="Muy Alta",'Mapa de Riesgos'!$AB$47="Menor"),CONCATENATE("R4C",'Mapa de Riesgos'!$P$47),"")</f>
        <v/>
      </c>
      <c r="Q9" s="11" t="str">
        <f>IF(AND('Mapa de Riesgos'!$Z$48="Muy Alta",'Mapa de Riesgos'!$AB$48="Menor"),CONCATENATE("R4C",'Mapa de Riesgos'!$P$48),"")</f>
        <v/>
      </c>
      <c r="R9" s="11" t="str">
        <f>IF(AND('Mapa de Riesgos'!$Z$49="Muy Alta",'Mapa de Riesgos'!$AB$49="Menor"),CONCATENATE("R4C",'Mapa de Riesgos'!$P$49),"")</f>
        <v/>
      </c>
      <c r="S9" s="11" t="str">
        <f>IF(AND('Mapa de Riesgos'!$Z$50="Muy Alta",'Mapa de Riesgos'!$AB$50="Menor"),CONCATENATE("R4C",'Mapa de Riesgos'!$P$50),"")</f>
        <v/>
      </c>
      <c r="T9" s="11" t="str">
        <f>IF(AND('Mapa de Riesgos'!$Z$51="Muy Alta",'Mapa de Riesgos'!$AB$51="Menor"),CONCATENATE("R4C",'Mapa de Riesgos'!$P$51),"")</f>
        <v/>
      </c>
      <c r="U9" s="12" t="str">
        <f>IF(AND('Mapa de Riesgos'!$Z$52="Muy Alta",'Mapa de Riesgos'!$AB$52="Menor"),CONCATENATE("R4C",'Mapa de Riesgos'!$P$52),"")</f>
        <v/>
      </c>
      <c r="V9" s="10" t="str">
        <f>IF(AND('Mapa de Riesgos'!$Z$47="Muy Alta",'Mapa de Riesgos'!$AB$47="Moderado"),CONCATENATE("R4C",'Mapa de Riesgos'!$P$47),"")</f>
        <v/>
      </c>
      <c r="W9" s="11" t="str">
        <f>IF(AND('Mapa de Riesgos'!$Z$48="Muy Alta",'Mapa de Riesgos'!$AB$48="Moderado"),CONCATENATE("R4C",'Mapa de Riesgos'!$P$48),"")</f>
        <v/>
      </c>
      <c r="X9" s="11" t="str">
        <f>IF(AND('Mapa de Riesgos'!$Z$49="Muy Alta",'Mapa de Riesgos'!$AB$49="Moderado"),CONCATENATE("R4C",'Mapa de Riesgos'!$P$49),"")</f>
        <v/>
      </c>
      <c r="Y9" s="11" t="str">
        <f>IF(AND('Mapa de Riesgos'!$Z$50="Muy Alta",'Mapa de Riesgos'!$AB$50="Moderado"),CONCATENATE("R4C",'Mapa de Riesgos'!$P$50),"")</f>
        <v/>
      </c>
      <c r="Z9" s="11" t="str">
        <f>IF(AND('Mapa de Riesgos'!$Z$51="Muy Alta",'Mapa de Riesgos'!$AB$51="Moderado"),CONCATENATE("R4C",'Mapa de Riesgos'!$P$51),"")</f>
        <v/>
      </c>
      <c r="AA9" s="12" t="str">
        <f>IF(AND('Mapa de Riesgos'!$Z$52="Muy Alta",'Mapa de Riesgos'!$AB$52="Moderado"),CONCATENATE("R4C",'Mapa de Riesgos'!$P$52),"")</f>
        <v/>
      </c>
      <c r="AB9" s="10" t="str">
        <f>IF(AND('Mapa de Riesgos'!$Z$47="Muy Alta",'Mapa de Riesgos'!$AB$47="Mayor"),CONCATENATE("R4C",'Mapa de Riesgos'!$P$47),"")</f>
        <v/>
      </c>
      <c r="AC9" s="11" t="str">
        <f>IF(AND('Mapa de Riesgos'!$Z$48="Muy Alta",'Mapa de Riesgos'!$AB$48="Mayor"),CONCATENATE("R4C",'Mapa de Riesgos'!$P$48),"")</f>
        <v/>
      </c>
      <c r="AD9" s="11" t="str">
        <f>IF(AND('Mapa de Riesgos'!$Z$49="Muy Alta",'Mapa de Riesgos'!$AB$49="Mayor"),CONCATENATE("R4C",'Mapa de Riesgos'!$P$49),"")</f>
        <v/>
      </c>
      <c r="AE9" s="11" t="str">
        <f>IF(AND('Mapa de Riesgos'!$Z$50="Muy Alta",'Mapa de Riesgos'!$AB$50="Mayor"),CONCATENATE("R4C",'Mapa de Riesgos'!$P$50),"")</f>
        <v/>
      </c>
      <c r="AF9" s="11" t="str">
        <f>IF(AND('Mapa de Riesgos'!$Z$51="Muy Alta",'Mapa de Riesgos'!$AB$51="Mayor"),CONCATENATE("R4C",'Mapa de Riesgos'!$P$51),"")</f>
        <v/>
      </c>
      <c r="AG9" s="12" t="str">
        <f>IF(AND('Mapa de Riesgos'!$Z$52="Muy Alta",'Mapa de Riesgos'!$AB$52="Mayor"),CONCATENATE("R4C",'Mapa de Riesgos'!$P$52),"")</f>
        <v/>
      </c>
      <c r="AH9" s="13" t="str">
        <f>IF(AND('Mapa de Riesgos'!$Z$47="Muy Alta",'Mapa de Riesgos'!$AB$47="Catastrófico"),CONCATENATE("R4C",'Mapa de Riesgos'!$P$47),"")</f>
        <v/>
      </c>
      <c r="AI9" s="14" t="str">
        <f>IF(AND('Mapa de Riesgos'!$Z$48="Muy Alta",'Mapa de Riesgos'!$AB$48="Catastrófico"),CONCATENATE("R4C",'Mapa de Riesgos'!$P$48),"")</f>
        <v/>
      </c>
      <c r="AJ9" s="14" t="str">
        <f>IF(AND('Mapa de Riesgos'!$Z$49="Muy Alta",'Mapa de Riesgos'!$AB$49="Catastrófico"),CONCATENATE("R4C",'Mapa de Riesgos'!$P$49),"")</f>
        <v/>
      </c>
      <c r="AK9" s="14" t="str">
        <f>IF(AND('Mapa de Riesgos'!$Z$50="Muy Alta",'Mapa de Riesgos'!$AB$50="Catastrófico"),CONCATENATE("R4C",'Mapa de Riesgos'!$P$50),"")</f>
        <v/>
      </c>
      <c r="AL9" s="14" t="str">
        <f>IF(AND('Mapa de Riesgos'!$Z$51="Muy Alta",'Mapa de Riesgos'!$AB$51="Catastrófico"),CONCATENATE("R4C",'Mapa de Riesgos'!$P$51),"")</f>
        <v/>
      </c>
      <c r="AM9" s="15" t="str">
        <f>IF(AND('Mapa de Riesgos'!$Z$52="Muy Alta",'Mapa de Riesgos'!$AB$52="Catastrófico"),CONCATENATE("R4C",'Mapa de Riesgos'!$P$52),"")</f>
        <v/>
      </c>
      <c r="AN9" s="41"/>
      <c r="AO9" s="445"/>
      <c r="AP9" s="446"/>
      <c r="AQ9" s="446"/>
      <c r="AR9" s="446"/>
      <c r="AS9" s="446"/>
      <c r="AT9" s="447"/>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row>
    <row r="10" spans="1:91" ht="15" customHeight="1" x14ac:dyDescent="0.25">
      <c r="A10" s="41"/>
      <c r="B10" s="340"/>
      <c r="C10" s="340"/>
      <c r="D10" s="341"/>
      <c r="E10" s="439"/>
      <c r="F10" s="438"/>
      <c r="G10" s="438"/>
      <c r="H10" s="438"/>
      <c r="I10" s="454"/>
      <c r="J10" s="10" t="e">
        <f>IF(AND('Mapa de Riesgos'!#REF!="Muy Alta",'Mapa de Riesgos'!#REF!="Leve"),CONCATENATE("R5C",'Mapa de Riesgos'!#REF!),"")</f>
        <v>#REF!</v>
      </c>
      <c r="K10" s="11" t="e">
        <f>IF(AND('Mapa de Riesgos'!#REF!="Muy Alta",'Mapa de Riesgos'!#REF!="Leve"),CONCATENATE("R5C",'Mapa de Riesgos'!#REF!),"")</f>
        <v>#REF!</v>
      </c>
      <c r="L10" s="11" t="e">
        <f>IF(AND('Mapa de Riesgos'!#REF!="Muy Alta",'Mapa de Riesgos'!#REF!="Leve"),CONCATENATE("R5C",'Mapa de Riesgos'!#REF!),"")</f>
        <v>#REF!</v>
      </c>
      <c r="M10" s="11" t="e">
        <f>IF(AND('Mapa de Riesgos'!#REF!="Muy Alta",'Mapa de Riesgos'!#REF!="Leve"),CONCATENATE("R5C",'Mapa de Riesgos'!#REF!),"")</f>
        <v>#REF!</v>
      </c>
      <c r="N10" s="11" t="e">
        <f>IF(AND('Mapa de Riesgos'!#REF!="Muy Alta",'Mapa de Riesgos'!#REF!="Leve"),CONCATENATE("R5C",'Mapa de Riesgos'!#REF!),"")</f>
        <v>#REF!</v>
      </c>
      <c r="O10" s="12" t="e">
        <f>IF(AND('Mapa de Riesgos'!#REF!="Muy Alta",'Mapa de Riesgos'!#REF!="Leve"),CONCATENATE("R5C",'Mapa de Riesgos'!#REF!),"")</f>
        <v>#REF!</v>
      </c>
      <c r="P10" s="10" t="e">
        <f>IF(AND('Mapa de Riesgos'!#REF!="Muy Alta",'Mapa de Riesgos'!#REF!="Menor"),CONCATENATE("R5C",'Mapa de Riesgos'!#REF!),"")</f>
        <v>#REF!</v>
      </c>
      <c r="Q10" s="11" t="e">
        <f>IF(AND('Mapa de Riesgos'!#REF!="Muy Alta",'Mapa de Riesgos'!#REF!="Menor"),CONCATENATE("R5C",'Mapa de Riesgos'!#REF!),"")</f>
        <v>#REF!</v>
      </c>
      <c r="R10" s="11" t="e">
        <f>IF(AND('Mapa de Riesgos'!#REF!="Muy Alta",'Mapa de Riesgos'!#REF!="Menor"),CONCATENATE("R5C",'Mapa de Riesgos'!#REF!),"")</f>
        <v>#REF!</v>
      </c>
      <c r="S10" s="11" t="e">
        <f>IF(AND('Mapa de Riesgos'!#REF!="Muy Alta",'Mapa de Riesgos'!#REF!="Menor"),CONCATENATE("R5C",'Mapa de Riesgos'!#REF!),"")</f>
        <v>#REF!</v>
      </c>
      <c r="T10" s="11" t="e">
        <f>IF(AND('Mapa de Riesgos'!#REF!="Muy Alta",'Mapa de Riesgos'!#REF!="Menor"),CONCATENATE("R5C",'Mapa de Riesgos'!#REF!),"")</f>
        <v>#REF!</v>
      </c>
      <c r="U10" s="12" t="e">
        <f>IF(AND('Mapa de Riesgos'!#REF!="Muy Alta",'Mapa de Riesgos'!#REF!="Menor"),CONCATENATE("R5C",'Mapa de Riesgos'!#REF!),"")</f>
        <v>#REF!</v>
      </c>
      <c r="V10" s="10" t="e">
        <f>IF(AND('Mapa de Riesgos'!#REF!="Muy Alta",'Mapa de Riesgos'!#REF!="Moderado"),CONCATENATE("R5C",'Mapa de Riesgos'!#REF!),"")</f>
        <v>#REF!</v>
      </c>
      <c r="W10" s="11" t="e">
        <f>IF(AND('Mapa de Riesgos'!#REF!="Muy Alta",'Mapa de Riesgos'!#REF!="Moderado"),CONCATENATE("R5C",'Mapa de Riesgos'!#REF!),"")</f>
        <v>#REF!</v>
      </c>
      <c r="X10" s="11" t="e">
        <f>IF(AND('Mapa de Riesgos'!#REF!="Muy Alta",'Mapa de Riesgos'!#REF!="Moderado"),CONCATENATE("R5C",'Mapa de Riesgos'!#REF!),"")</f>
        <v>#REF!</v>
      </c>
      <c r="Y10" s="11" t="e">
        <f>IF(AND('Mapa de Riesgos'!#REF!="Muy Alta",'Mapa de Riesgos'!#REF!="Moderado"),CONCATENATE("R5C",'Mapa de Riesgos'!#REF!),"")</f>
        <v>#REF!</v>
      </c>
      <c r="Z10" s="11" t="e">
        <f>IF(AND('Mapa de Riesgos'!#REF!="Muy Alta",'Mapa de Riesgos'!#REF!="Moderado"),CONCATENATE("R5C",'Mapa de Riesgos'!#REF!),"")</f>
        <v>#REF!</v>
      </c>
      <c r="AA10" s="12" t="e">
        <f>IF(AND('Mapa de Riesgos'!#REF!="Muy Alta",'Mapa de Riesgos'!#REF!="Moderado"),CONCATENATE("R5C",'Mapa de Riesgos'!#REF!),"")</f>
        <v>#REF!</v>
      </c>
      <c r="AB10" s="10" t="e">
        <f>IF(AND('Mapa de Riesgos'!#REF!="Muy Alta",'Mapa de Riesgos'!#REF!="Mayor"),CONCATENATE("R5C",'Mapa de Riesgos'!#REF!),"")</f>
        <v>#REF!</v>
      </c>
      <c r="AC10" s="11" t="e">
        <f>IF(AND('Mapa de Riesgos'!#REF!="Muy Alta",'Mapa de Riesgos'!#REF!="Mayor"),CONCATENATE("R5C",'Mapa de Riesgos'!#REF!),"")</f>
        <v>#REF!</v>
      </c>
      <c r="AD10" s="11" t="e">
        <f>IF(AND('Mapa de Riesgos'!#REF!="Muy Alta",'Mapa de Riesgos'!#REF!="Mayor"),CONCATENATE("R5C",'Mapa de Riesgos'!#REF!),"")</f>
        <v>#REF!</v>
      </c>
      <c r="AE10" s="11" t="e">
        <f>IF(AND('Mapa de Riesgos'!#REF!="Muy Alta",'Mapa de Riesgos'!#REF!="Mayor"),CONCATENATE("R5C",'Mapa de Riesgos'!#REF!),"")</f>
        <v>#REF!</v>
      </c>
      <c r="AF10" s="11" t="e">
        <f>IF(AND('Mapa de Riesgos'!#REF!="Muy Alta",'Mapa de Riesgos'!#REF!="Mayor"),CONCATENATE("R5C",'Mapa de Riesgos'!#REF!),"")</f>
        <v>#REF!</v>
      </c>
      <c r="AG10" s="12" t="e">
        <f>IF(AND('Mapa de Riesgos'!#REF!="Muy Alta",'Mapa de Riesgos'!#REF!="Mayor"),CONCATENATE("R5C",'Mapa de Riesgos'!#REF!),"")</f>
        <v>#REF!</v>
      </c>
      <c r="AH10" s="13" t="e">
        <f>IF(AND('Mapa de Riesgos'!#REF!="Muy Alta",'Mapa de Riesgos'!#REF!="Catastrófico"),CONCATENATE("R5C",'Mapa de Riesgos'!#REF!),"")</f>
        <v>#REF!</v>
      </c>
      <c r="AI10" s="14" t="e">
        <f>IF(AND('Mapa de Riesgos'!#REF!="Muy Alta",'Mapa de Riesgos'!#REF!="Catastrófico"),CONCATENATE("R5C",'Mapa de Riesgos'!#REF!),"")</f>
        <v>#REF!</v>
      </c>
      <c r="AJ10" s="14" t="e">
        <f>IF(AND('Mapa de Riesgos'!#REF!="Muy Alta",'Mapa de Riesgos'!#REF!="Catastrófico"),CONCATENATE("R5C",'Mapa de Riesgos'!#REF!),"")</f>
        <v>#REF!</v>
      </c>
      <c r="AK10" s="14" t="e">
        <f>IF(AND('Mapa de Riesgos'!#REF!="Muy Alta",'Mapa de Riesgos'!#REF!="Catastrófico"),CONCATENATE("R5C",'Mapa de Riesgos'!#REF!),"")</f>
        <v>#REF!</v>
      </c>
      <c r="AL10" s="14" t="e">
        <f>IF(AND('Mapa de Riesgos'!#REF!="Muy Alta",'Mapa de Riesgos'!#REF!="Catastrófico"),CONCATENATE("R5C",'Mapa de Riesgos'!#REF!),"")</f>
        <v>#REF!</v>
      </c>
      <c r="AM10" s="15" t="e">
        <f>IF(AND('Mapa de Riesgos'!#REF!="Muy Alta",'Mapa de Riesgos'!#REF!="Catastrófico"),CONCATENATE("R5C",'Mapa de Riesgos'!#REF!),"")</f>
        <v>#REF!</v>
      </c>
      <c r="AN10" s="41"/>
      <c r="AO10" s="445"/>
      <c r="AP10" s="446"/>
      <c r="AQ10" s="446"/>
      <c r="AR10" s="446"/>
      <c r="AS10" s="446"/>
      <c r="AT10" s="447"/>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row>
    <row r="11" spans="1:91" ht="15" customHeight="1" x14ac:dyDescent="0.25">
      <c r="A11" s="41"/>
      <c r="B11" s="340"/>
      <c r="C11" s="340"/>
      <c r="D11" s="341"/>
      <c r="E11" s="439"/>
      <c r="F11" s="438"/>
      <c r="G11" s="438"/>
      <c r="H11" s="438"/>
      <c r="I11" s="454"/>
      <c r="J11" s="10" t="str">
        <f>IF(AND('Mapa de Riesgos'!$Z$53="Muy Alta",'Mapa de Riesgos'!$AB$53="Leve"),CONCATENATE("R6C",'Mapa de Riesgos'!$P$53),"")</f>
        <v/>
      </c>
      <c r="K11" s="11" t="str">
        <f>IF(AND('Mapa de Riesgos'!$Z$54="Muy Alta",'Mapa de Riesgos'!$AB$54="Leve"),CONCATENATE("R6C",'Mapa de Riesgos'!$P$54),"")</f>
        <v/>
      </c>
      <c r="L11" s="11" t="str">
        <f>IF(AND('Mapa de Riesgos'!$Z$55="Muy Alta",'Mapa de Riesgos'!$AB$55="Leve"),CONCATENATE("R6C",'Mapa de Riesgos'!$P$55),"")</f>
        <v/>
      </c>
      <c r="M11" s="11" t="str">
        <f>IF(AND('Mapa de Riesgos'!$Z$56="Muy Alta",'Mapa de Riesgos'!$AB$56="Leve"),CONCATENATE("R6C",'Mapa de Riesgos'!$P$56),"")</f>
        <v/>
      </c>
      <c r="N11" s="11" t="str">
        <f>IF(AND('Mapa de Riesgos'!$Z$57="Muy Alta",'Mapa de Riesgos'!$AB$57="Leve"),CONCATENATE("R6C",'Mapa de Riesgos'!$P$57),"")</f>
        <v/>
      </c>
      <c r="O11" s="12" t="str">
        <f>IF(AND('Mapa de Riesgos'!$Z$58="Muy Alta",'Mapa de Riesgos'!$AB$58="Leve"),CONCATENATE("R6C",'Mapa de Riesgos'!$P$58),"")</f>
        <v/>
      </c>
      <c r="P11" s="10" t="str">
        <f>IF(AND('Mapa de Riesgos'!$Z$53="Muy Alta",'Mapa de Riesgos'!$AB$53="Menor"),CONCATENATE("R6C",'Mapa de Riesgos'!$P$53),"")</f>
        <v/>
      </c>
      <c r="Q11" s="11" t="str">
        <f>IF(AND('Mapa de Riesgos'!$Z$54="Muy Alta",'Mapa de Riesgos'!$AB$54="Menor"),CONCATENATE("R6C",'Mapa de Riesgos'!$P$54),"")</f>
        <v/>
      </c>
      <c r="R11" s="11" t="str">
        <f>IF(AND('Mapa de Riesgos'!$Z$55="Muy Alta",'Mapa de Riesgos'!$AB$55="Menor"),CONCATENATE("R6C",'Mapa de Riesgos'!$P$55),"")</f>
        <v/>
      </c>
      <c r="S11" s="11" t="str">
        <f>IF(AND('Mapa de Riesgos'!$Z$56="Muy Alta",'Mapa de Riesgos'!$AB$56="Menor"),CONCATENATE("R6C",'Mapa de Riesgos'!$P$56),"")</f>
        <v/>
      </c>
      <c r="T11" s="11" t="str">
        <f>IF(AND('Mapa de Riesgos'!$Z$57="Muy Alta",'Mapa de Riesgos'!$AB$57="Menor"),CONCATENATE("R6C",'Mapa de Riesgos'!$P$57),"")</f>
        <v/>
      </c>
      <c r="U11" s="12" t="str">
        <f>IF(AND('Mapa de Riesgos'!$Z$58="Muy Alta",'Mapa de Riesgos'!$AB$58="Menor"),CONCATENATE("R6C",'Mapa de Riesgos'!$P$58),"")</f>
        <v/>
      </c>
      <c r="V11" s="10" t="str">
        <f>IF(AND('Mapa de Riesgos'!$Z$53="Muy Alta",'Mapa de Riesgos'!$AB$53="Moderado"),CONCATENATE("R6C",'Mapa de Riesgos'!$P$53),"")</f>
        <v/>
      </c>
      <c r="W11" s="11" t="str">
        <f>IF(AND('Mapa de Riesgos'!$Z$54="Muy Alta",'Mapa de Riesgos'!$AB$54="Moderado"),CONCATENATE("R6C",'Mapa de Riesgos'!$P$54),"")</f>
        <v/>
      </c>
      <c r="X11" s="11" t="str">
        <f>IF(AND('Mapa de Riesgos'!$Z$55="Muy Alta",'Mapa de Riesgos'!$AB$55="Moderado"),CONCATENATE("R6C",'Mapa de Riesgos'!$P$55),"")</f>
        <v/>
      </c>
      <c r="Y11" s="11" t="str">
        <f>IF(AND('Mapa de Riesgos'!$Z$56="Muy Alta",'Mapa de Riesgos'!$AB$56="Moderado"),CONCATENATE("R6C",'Mapa de Riesgos'!$P$56),"")</f>
        <v/>
      </c>
      <c r="Z11" s="11" t="str">
        <f>IF(AND('Mapa de Riesgos'!$Z$57="Muy Alta",'Mapa de Riesgos'!$AB$57="Moderado"),CONCATENATE("R6C",'Mapa de Riesgos'!$P$57),"")</f>
        <v/>
      </c>
      <c r="AA11" s="12" t="str">
        <f>IF(AND('Mapa de Riesgos'!$Z$58="Muy Alta",'Mapa de Riesgos'!$AB$58="Moderado"),CONCATENATE("R6C",'Mapa de Riesgos'!$P$58),"")</f>
        <v/>
      </c>
      <c r="AB11" s="10" t="str">
        <f>IF(AND('Mapa de Riesgos'!$Z$53="Muy Alta",'Mapa de Riesgos'!$AB$53="Mayor"),CONCATENATE("R6C",'Mapa de Riesgos'!$P$53),"")</f>
        <v/>
      </c>
      <c r="AC11" s="11" t="str">
        <f>IF(AND('Mapa de Riesgos'!$Z$54="Muy Alta",'Mapa de Riesgos'!$AB$54="Mayor"),CONCATENATE("R6C",'Mapa de Riesgos'!$P$54),"")</f>
        <v/>
      </c>
      <c r="AD11" s="11" t="str">
        <f>IF(AND('Mapa de Riesgos'!$Z$55="Muy Alta",'Mapa de Riesgos'!$AB$55="Mayor"),CONCATENATE("R6C",'Mapa de Riesgos'!$P$55),"")</f>
        <v/>
      </c>
      <c r="AE11" s="11" t="str">
        <f>IF(AND('Mapa de Riesgos'!$Z$56="Muy Alta",'Mapa de Riesgos'!$AB$56="Mayor"),CONCATENATE("R6C",'Mapa de Riesgos'!$P$56),"")</f>
        <v/>
      </c>
      <c r="AF11" s="11" t="str">
        <f>IF(AND('Mapa de Riesgos'!$Z$57="Muy Alta",'Mapa de Riesgos'!$AB$57="Mayor"),CONCATENATE("R6C",'Mapa de Riesgos'!$P$57),"")</f>
        <v/>
      </c>
      <c r="AG11" s="12" t="str">
        <f>IF(AND('Mapa de Riesgos'!$Z$58="Muy Alta",'Mapa de Riesgos'!$AB$58="Mayor"),CONCATENATE("R6C",'Mapa de Riesgos'!$P$58),"")</f>
        <v/>
      </c>
      <c r="AH11" s="13" t="str">
        <f>IF(AND('Mapa de Riesgos'!$Z$53="Muy Alta",'Mapa de Riesgos'!$AB$53="Catastrófico"),CONCATENATE("R6C",'Mapa de Riesgos'!$P$53),"")</f>
        <v/>
      </c>
      <c r="AI11" s="14" t="str">
        <f>IF(AND('Mapa de Riesgos'!$Z$54="Muy Alta",'Mapa de Riesgos'!$AB$54="Catastrófico"),CONCATENATE("R6C",'Mapa de Riesgos'!$P$54),"")</f>
        <v/>
      </c>
      <c r="AJ11" s="14" t="str">
        <f>IF(AND('Mapa de Riesgos'!$Z$55="Muy Alta",'Mapa de Riesgos'!$AB$55="Catastrófico"),CONCATENATE("R6C",'Mapa de Riesgos'!$P$55),"")</f>
        <v/>
      </c>
      <c r="AK11" s="14" t="str">
        <f>IF(AND('Mapa de Riesgos'!$Z$56="Muy Alta",'Mapa de Riesgos'!$AB$56="Catastrófico"),CONCATENATE("R6C",'Mapa de Riesgos'!$P$56),"")</f>
        <v/>
      </c>
      <c r="AL11" s="14" t="str">
        <f>IF(AND('Mapa de Riesgos'!$Z$57="Muy Alta",'Mapa de Riesgos'!$AB$57="Catastrófico"),CONCATENATE("R6C",'Mapa de Riesgos'!$P$57),"")</f>
        <v/>
      </c>
      <c r="AM11" s="15" t="str">
        <f>IF(AND('Mapa de Riesgos'!$Z$58="Muy Alta",'Mapa de Riesgos'!$AB$58="Catastrófico"),CONCATENATE("R6C",'Mapa de Riesgos'!$P$58),"")</f>
        <v/>
      </c>
      <c r="AN11" s="41"/>
      <c r="AO11" s="445"/>
      <c r="AP11" s="446"/>
      <c r="AQ11" s="446"/>
      <c r="AR11" s="446"/>
      <c r="AS11" s="446"/>
      <c r="AT11" s="447"/>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row>
    <row r="12" spans="1:91" ht="15" customHeight="1" x14ac:dyDescent="0.25">
      <c r="A12" s="41"/>
      <c r="B12" s="340"/>
      <c r="C12" s="340"/>
      <c r="D12" s="341"/>
      <c r="E12" s="439"/>
      <c r="F12" s="438"/>
      <c r="G12" s="438"/>
      <c r="H12" s="438"/>
      <c r="I12" s="454"/>
      <c r="J12" s="10" t="str">
        <f>IF(AND('Mapa de Riesgos'!$Z$23="Muy Alta",'Mapa de Riesgos'!$AB$23="Leve"),CONCATENATE("R7C",'Mapa de Riesgos'!$P$23),"")</f>
        <v/>
      </c>
      <c r="K12" s="11" t="str">
        <f>IF(AND('Mapa de Riesgos'!$Z$24="Muy Alta",'Mapa de Riesgos'!$AB$24="Leve"),CONCATENATE("R7C",'Mapa de Riesgos'!$P$24),"")</f>
        <v/>
      </c>
      <c r="L12" s="11" t="str">
        <f>IF(AND('Mapa de Riesgos'!$Z$25="Muy Alta",'Mapa de Riesgos'!$AB$25="Leve"),CONCATENATE("R7C",'Mapa de Riesgos'!$P$25),"")</f>
        <v/>
      </c>
      <c r="M12" s="11" t="str">
        <f>IF(AND('Mapa de Riesgos'!$Z$26="Muy Alta",'Mapa de Riesgos'!$AB$26="Leve"),CONCATENATE("R7C",'Mapa de Riesgos'!$P$26),"")</f>
        <v/>
      </c>
      <c r="N12" s="11" t="str">
        <f>IF(AND('Mapa de Riesgos'!$Z$27="Muy Alta",'Mapa de Riesgos'!$AB$27="Leve"),CONCATENATE("R7C",'Mapa de Riesgos'!$P$27),"")</f>
        <v/>
      </c>
      <c r="O12" s="12" t="str">
        <f>IF(AND('Mapa de Riesgos'!$Z$28="Muy Alta",'Mapa de Riesgos'!$AB$28="Leve"),CONCATENATE("R7C",'Mapa de Riesgos'!$P$28),"")</f>
        <v/>
      </c>
      <c r="P12" s="10" t="str">
        <f>IF(AND('Mapa de Riesgos'!$Z$23="Muy Alta",'Mapa de Riesgos'!$AB$23="Menor"),CONCATENATE("R7C",'Mapa de Riesgos'!$P$23),"")</f>
        <v/>
      </c>
      <c r="Q12" s="11" t="str">
        <f>IF(AND('Mapa de Riesgos'!$Z$24="Muy Alta",'Mapa de Riesgos'!$AB$24="Menor"),CONCATENATE("R7C",'Mapa de Riesgos'!$P$24),"")</f>
        <v/>
      </c>
      <c r="R12" s="11" t="str">
        <f>IF(AND('Mapa de Riesgos'!$Z$25="Muy Alta",'Mapa de Riesgos'!$AB$25="Menor"),CONCATENATE("R7C",'Mapa de Riesgos'!$P$25),"")</f>
        <v/>
      </c>
      <c r="S12" s="11" t="str">
        <f>IF(AND('Mapa de Riesgos'!$Z$26="Muy Alta",'Mapa de Riesgos'!$AB$26="Menor"),CONCATENATE("R7C",'Mapa de Riesgos'!$P$26),"")</f>
        <v/>
      </c>
      <c r="T12" s="11" t="str">
        <f>IF(AND('Mapa de Riesgos'!$Z$27="Muy Alta",'Mapa de Riesgos'!$AB$27="Menor"),CONCATENATE("R7C",'Mapa de Riesgos'!$P$27),"")</f>
        <v/>
      </c>
      <c r="U12" s="12" t="str">
        <f>IF(AND('Mapa de Riesgos'!$Z$28="Muy Alta",'Mapa de Riesgos'!$AB$28="Menor"),CONCATENATE("R7C",'Mapa de Riesgos'!$P$28),"")</f>
        <v/>
      </c>
      <c r="V12" s="10" t="str">
        <f>IF(AND('Mapa de Riesgos'!$Z$23="Muy Alta",'Mapa de Riesgos'!$AB$23="Moderado"),CONCATENATE("R7C",'Mapa de Riesgos'!$P$23),"")</f>
        <v/>
      </c>
      <c r="W12" s="11" t="str">
        <f>IF(AND('Mapa de Riesgos'!$Z$24="Muy Alta",'Mapa de Riesgos'!$AB$24="Moderado"),CONCATENATE("R7C",'Mapa de Riesgos'!$P$24),"")</f>
        <v/>
      </c>
      <c r="X12" s="11" t="str">
        <f>IF(AND('Mapa de Riesgos'!$Z$25="Muy Alta",'Mapa de Riesgos'!$AB$25="Moderado"),CONCATENATE("R7C",'Mapa de Riesgos'!$P$25),"")</f>
        <v/>
      </c>
      <c r="Y12" s="11" t="str">
        <f>IF(AND('Mapa de Riesgos'!$Z$26="Muy Alta",'Mapa de Riesgos'!$AB$26="Moderado"),CONCATENATE("R7C",'Mapa de Riesgos'!$P$26),"")</f>
        <v/>
      </c>
      <c r="Z12" s="11" t="str">
        <f>IF(AND('Mapa de Riesgos'!$Z$27="Muy Alta",'Mapa de Riesgos'!$AB$27="Moderado"),CONCATENATE("R7C",'Mapa de Riesgos'!$P$27),"")</f>
        <v/>
      </c>
      <c r="AA12" s="12" t="str">
        <f>IF(AND('Mapa de Riesgos'!$Z$28="Muy Alta",'Mapa de Riesgos'!$AB$28="Moderado"),CONCATENATE("R7C",'Mapa de Riesgos'!$P$28),"")</f>
        <v/>
      </c>
      <c r="AB12" s="10" t="str">
        <f>IF(AND('Mapa de Riesgos'!$Z$23="Muy Alta",'Mapa de Riesgos'!$AB$23="Mayor"),CONCATENATE("R7C",'Mapa de Riesgos'!$P$23),"")</f>
        <v/>
      </c>
      <c r="AC12" s="11" t="str">
        <f>IF(AND('Mapa de Riesgos'!$Z$24="Muy Alta",'Mapa de Riesgos'!$AB$24="Mayor"),CONCATENATE("R7C",'Mapa de Riesgos'!$P$24),"")</f>
        <v/>
      </c>
      <c r="AD12" s="11" t="str">
        <f>IF(AND('Mapa de Riesgos'!$Z$25="Muy Alta",'Mapa de Riesgos'!$AB$25="Mayor"),CONCATENATE("R7C",'Mapa de Riesgos'!$P$25),"")</f>
        <v/>
      </c>
      <c r="AE12" s="11" t="str">
        <f>IF(AND('Mapa de Riesgos'!$Z$26="Muy Alta",'Mapa de Riesgos'!$AB$26="Mayor"),CONCATENATE("R7C",'Mapa de Riesgos'!$P$26),"")</f>
        <v/>
      </c>
      <c r="AF12" s="11" t="str">
        <f>IF(AND('Mapa de Riesgos'!$Z$27="Muy Alta",'Mapa de Riesgos'!$AB$27="Mayor"),CONCATENATE("R7C",'Mapa de Riesgos'!$P$27),"")</f>
        <v/>
      </c>
      <c r="AG12" s="12" t="str">
        <f>IF(AND('Mapa de Riesgos'!$Z$28="Muy Alta",'Mapa de Riesgos'!$AB$28="Mayor"),CONCATENATE("R7C",'Mapa de Riesgos'!$P$28),"")</f>
        <v/>
      </c>
      <c r="AH12" s="13" t="str">
        <f>IF(AND('Mapa de Riesgos'!$Z$23="Muy Alta",'Mapa de Riesgos'!$AB$23="Catastrófico"),CONCATENATE("R7C",'Mapa de Riesgos'!$P$23),"")</f>
        <v/>
      </c>
      <c r="AI12" s="14" t="str">
        <f>IF(AND('Mapa de Riesgos'!$Z$24="Muy Alta",'Mapa de Riesgos'!$AB$24="Catastrófico"),CONCATENATE("R7C",'Mapa de Riesgos'!$P$24),"")</f>
        <v/>
      </c>
      <c r="AJ12" s="14" t="str">
        <f>IF(AND('Mapa de Riesgos'!$Z$25="Muy Alta",'Mapa de Riesgos'!$AB$25="Catastrófico"),CONCATENATE("R7C",'Mapa de Riesgos'!$P$25),"")</f>
        <v/>
      </c>
      <c r="AK12" s="14" t="str">
        <f>IF(AND('Mapa de Riesgos'!$Z$26="Muy Alta",'Mapa de Riesgos'!$AB$26="Catastrófico"),CONCATENATE("R7C",'Mapa de Riesgos'!$P$26),"")</f>
        <v/>
      </c>
      <c r="AL12" s="14" t="str">
        <f>IF(AND('Mapa de Riesgos'!$Z$27="Muy Alta",'Mapa de Riesgos'!$AB$27="Catastrófico"),CONCATENATE("R7C",'Mapa de Riesgos'!$P$27),"")</f>
        <v/>
      </c>
      <c r="AM12" s="15" t="str">
        <f>IF(AND('Mapa de Riesgos'!$Z$28="Muy Alta",'Mapa de Riesgos'!$AB$28="Catastrófico"),CONCATENATE("R7C",'Mapa de Riesgos'!$P$28),"")</f>
        <v/>
      </c>
      <c r="AN12" s="41"/>
      <c r="AO12" s="445"/>
      <c r="AP12" s="446"/>
      <c r="AQ12" s="446"/>
      <c r="AR12" s="446"/>
      <c r="AS12" s="446"/>
      <c r="AT12" s="447"/>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row>
    <row r="13" spans="1:91" ht="15" customHeight="1" x14ac:dyDescent="0.25">
      <c r="A13" s="41"/>
      <c r="B13" s="340"/>
      <c r="C13" s="340"/>
      <c r="D13" s="341"/>
      <c r="E13" s="439"/>
      <c r="F13" s="438"/>
      <c r="G13" s="438"/>
      <c r="H13" s="438"/>
      <c r="I13" s="454"/>
      <c r="J13" s="10" t="str">
        <f>IF(AND('Mapa de Riesgos'!$Z$17="Muy Alta",'Mapa de Riesgos'!$AB$17="Leve"),CONCATENATE("R8C",'Mapa de Riesgos'!$P$17),"")</f>
        <v/>
      </c>
      <c r="K13" s="11" t="str">
        <f>IF(AND('Mapa de Riesgos'!$Z$18="Muy Alta",'Mapa de Riesgos'!$AB$18="Leve"),CONCATENATE("R8C",'Mapa de Riesgos'!$P$18),"")</f>
        <v/>
      </c>
      <c r="L13" s="11" t="str">
        <f>IF(AND('Mapa de Riesgos'!$Z$19="Muy Alta",'Mapa de Riesgos'!$AB$19="Leve"),CONCATENATE("R8C",'Mapa de Riesgos'!$P$19),"")</f>
        <v/>
      </c>
      <c r="M13" s="11" t="str">
        <f>IF(AND('Mapa de Riesgos'!$Z$20="Muy Alta",'Mapa de Riesgos'!$AB$20="Leve"),CONCATENATE("R8C",'Mapa de Riesgos'!$P$20),"")</f>
        <v/>
      </c>
      <c r="N13" s="11" t="str">
        <f>IF(AND('Mapa de Riesgos'!$Z$21="Muy Alta",'Mapa de Riesgos'!$AB$21="Leve"),CONCATENATE("R8C",'Mapa de Riesgos'!$P$21),"")</f>
        <v/>
      </c>
      <c r="O13" s="12" t="str">
        <f>IF(AND('Mapa de Riesgos'!$Z$22="Muy Alta",'Mapa de Riesgos'!$AB$22="Leve"),CONCATENATE("R8C",'Mapa de Riesgos'!$P$22),"")</f>
        <v/>
      </c>
      <c r="P13" s="10" t="str">
        <f>IF(AND('Mapa de Riesgos'!$Z$17="Muy Alta",'Mapa de Riesgos'!$AB$17="Menor"),CONCATENATE("R8C",'Mapa de Riesgos'!$P$17),"")</f>
        <v/>
      </c>
      <c r="Q13" s="11" t="str">
        <f>IF(AND('Mapa de Riesgos'!$Z$18="Muy Alta",'Mapa de Riesgos'!$AB$18="Menor"),CONCATENATE("R8C",'Mapa de Riesgos'!$P$18),"")</f>
        <v/>
      </c>
      <c r="R13" s="11" t="str">
        <f>IF(AND('Mapa de Riesgos'!$Z$19="Muy Alta",'Mapa de Riesgos'!$AB$19="Menor"),CONCATENATE("R8C",'Mapa de Riesgos'!$P$19),"")</f>
        <v/>
      </c>
      <c r="S13" s="11" t="str">
        <f>IF(AND('Mapa de Riesgos'!$Z$20="Muy Alta",'Mapa de Riesgos'!$AB$20="Menor"),CONCATENATE("R8C",'Mapa de Riesgos'!$P$20),"")</f>
        <v/>
      </c>
      <c r="T13" s="11" t="str">
        <f>IF(AND('Mapa de Riesgos'!$Z$21="Muy Alta",'Mapa de Riesgos'!$AB$21="Menor"),CONCATENATE("R8C",'Mapa de Riesgos'!$P$21),"")</f>
        <v/>
      </c>
      <c r="U13" s="12" t="str">
        <f>IF(AND('Mapa de Riesgos'!$Z$22="Muy Alta",'Mapa de Riesgos'!$AB$22="Menor"),CONCATENATE("R8C",'Mapa de Riesgos'!$P$22),"")</f>
        <v/>
      </c>
      <c r="V13" s="10" t="str">
        <f>IF(AND('Mapa de Riesgos'!$Z$17="Muy Alta",'Mapa de Riesgos'!$AB$17="Moderado"),CONCATENATE("R8C",'Mapa de Riesgos'!$P$17),"")</f>
        <v/>
      </c>
      <c r="W13" s="11" t="str">
        <f>IF(AND('Mapa de Riesgos'!$Z$18="Muy Alta",'Mapa de Riesgos'!$AB$18="Moderado"),CONCATENATE("R8C",'Mapa de Riesgos'!$P$18),"")</f>
        <v/>
      </c>
      <c r="X13" s="11" t="str">
        <f>IF(AND('Mapa de Riesgos'!$Z$19="Muy Alta",'Mapa de Riesgos'!$AB$19="Moderado"),CONCATENATE("R8C",'Mapa de Riesgos'!$P$19),"")</f>
        <v/>
      </c>
      <c r="Y13" s="11" t="str">
        <f>IF(AND('Mapa de Riesgos'!$Z$20="Muy Alta",'Mapa de Riesgos'!$AB$20="Moderado"),CONCATENATE("R8C",'Mapa de Riesgos'!$P$20),"")</f>
        <v/>
      </c>
      <c r="Z13" s="11" t="str">
        <f>IF(AND('Mapa de Riesgos'!$Z$21="Muy Alta",'Mapa de Riesgos'!$AB$21="Moderado"),CONCATENATE("R8C",'Mapa de Riesgos'!$P$21),"")</f>
        <v/>
      </c>
      <c r="AA13" s="12" t="str">
        <f>IF(AND('Mapa de Riesgos'!$Z$22="Muy Alta",'Mapa de Riesgos'!$AB$22="Moderado"),CONCATENATE("R8C",'Mapa de Riesgos'!$P$22),"")</f>
        <v/>
      </c>
      <c r="AB13" s="10" t="str">
        <f>IF(AND('Mapa de Riesgos'!$Z$17="Muy Alta",'Mapa de Riesgos'!$AB$17="Mayor"),CONCATENATE("R8C",'Mapa de Riesgos'!$P$17),"")</f>
        <v/>
      </c>
      <c r="AC13" s="11" t="str">
        <f>IF(AND('Mapa de Riesgos'!$Z$18="Muy Alta",'Mapa de Riesgos'!$AB$18="Mayor"),CONCATENATE("R8C",'Mapa de Riesgos'!$P$18),"")</f>
        <v/>
      </c>
      <c r="AD13" s="11" t="str">
        <f>IF(AND('Mapa de Riesgos'!$Z$19="Muy Alta",'Mapa de Riesgos'!$AB$19="Mayor"),CONCATENATE("R8C",'Mapa de Riesgos'!$P$19),"")</f>
        <v/>
      </c>
      <c r="AE13" s="11" t="str">
        <f>IF(AND('Mapa de Riesgos'!$Z$20="Muy Alta",'Mapa de Riesgos'!$AB$20="Mayor"),CONCATENATE("R8C",'Mapa de Riesgos'!$P$20),"")</f>
        <v/>
      </c>
      <c r="AF13" s="11" t="str">
        <f>IF(AND('Mapa de Riesgos'!$Z$21="Muy Alta",'Mapa de Riesgos'!$AB$21="Mayor"),CONCATENATE("R8C",'Mapa de Riesgos'!$P$21),"")</f>
        <v/>
      </c>
      <c r="AG13" s="12" t="str">
        <f>IF(AND('Mapa de Riesgos'!$Z$22="Muy Alta",'Mapa de Riesgos'!$AB$22="Mayor"),CONCATENATE("R8C",'Mapa de Riesgos'!$P$22),"")</f>
        <v/>
      </c>
      <c r="AH13" s="13" t="str">
        <f>IF(AND('Mapa de Riesgos'!$Z$17="Muy Alta",'Mapa de Riesgos'!$AB$17="Catastrófico"),CONCATENATE("R8C",'Mapa de Riesgos'!$P$17),"")</f>
        <v/>
      </c>
      <c r="AI13" s="14" t="str">
        <f>IF(AND('Mapa de Riesgos'!$Z$18="Muy Alta",'Mapa de Riesgos'!$AB$18="Catastrófico"),CONCATENATE("R8C",'Mapa de Riesgos'!$P$18),"")</f>
        <v/>
      </c>
      <c r="AJ13" s="14" t="str">
        <f>IF(AND('Mapa de Riesgos'!$Z$19="Muy Alta",'Mapa de Riesgos'!$AB$19="Catastrófico"),CONCATENATE("R8C",'Mapa de Riesgos'!$P$19),"")</f>
        <v/>
      </c>
      <c r="AK13" s="14" t="str">
        <f>IF(AND('Mapa de Riesgos'!$Z$20="Muy Alta",'Mapa de Riesgos'!$AB$20="Catastrófico"),CONCATENATE("R8C",'Mapa de Riesgos'!$P$20),"")</f>
        <v/>
      </c>
      <c r="AL13" s="14" t="str">
        <f>IF(AND('Mapa de Riesgos'!$Z$21="Muy Alta",'Mapa de Riesgos'!$AB$21="Catastrófico"),CONCATENATE("R8C",'Mapa de Riesgos'!$P$21),"")</f>
        <v/>
      </c>
      <c r="AM13" s="15" t="str">
        <f>IF(AND('Mapa de Riesgos'!$Z$22="Muy Alta",'Mapa de Riesgos'!$AB$22="Catastrófico"),CONCATENATE("R8C",'Mapa de Riesgos'!$P$22),"")</f>
        <v/>
      </c>
      <c r="AN13" s="41"/>
      <c r="AO13" s="445"/>
      <c r="AP13" s="446"/>
      <c r="AQ13" s="446"/>
      <c r="AR13" s="446"/>
      <c r="AS13" s="446"/>
      <c r="AT13" s="447"/>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row>
    <row r="14" spans="1:91" ht="15" customHeight="1" x14ac:dyDescent="0.25">
      <c r="A14" s="41"/>
      <c r="B14" s="340"/>
      <c r="C14" s="340"/>
      <c r="D14" s="341"/>
      <c r="E14" s="439"/>
      <c r="F14" s="438"/>
      <c r="G14" s="438"/>
      <c r="H14" s="438"/>
      <c r="I14" s="454"/>
      <c r="J14" s="10" t="str">
        <f>IF(AND('Mapa de Riesgos'!$Z$59="Muy Alta",'Mapa de Riesgos'!$AB$59="Leve"),CONCATENATE("R9C",'Mapa de Riesgos'!$P$59),"")</f>
        <v/>
      </c>
      <c r="K14" s="11" t="str">
        <f>IF(AND('Mapa de Riesgos'!$Z$60="Muy Alta",'Mapa de Riesgos'!$AB$60="Leve"),CONCATENATE("R9C",'Mapa de Riesgos'!$P$60),"")</f>
        <v/>
      </c>
      <c r="L14" s="11" t="str">
        <f>IF(AND('Mapa de Riesgos'!$Z$61="Muy Alta",'Mapa de Riesgos'!$AB$61="Leve"),CONCATENATE("R9C",'Mapa de Riesgos'!$P$61),"")</f>
        <v/>
      </c>
      <c r="M14" s="11" t="str">
        <f>IF(AND('Mapa de Riesgos'!$Z$62="Muy Alta",'Mapa de Riesgos'!$AB$62="Leve"),CONCATENATE("R9C",'Mapa de Riesgos'!$P$62),"")</f>
        <v/>
      </c>
      <c r="N14" s="11" t="str">
        <f>IF(AND('Mapa de Riesgos'!$Z$63="Muy Alta",'Mapa de Riesgos'!$AB$63="Leve"),CONCATENATE("R9C",'Mapa de Riesgos'!$P$63),"")</f>
        <v/>
      </c>
      <c r="O14" s="12" t="str">
        <f>IF(AND('Mapa de Riesgos'!$Z$64="Muy Alta",'Mapa de Riesgos'!$AB$64="Leve"),CONCATENATE("R9C",'Mapa de Riesgos'!$P$64),"")</f>
        <v/>
      </c>
      <c r="P14" s="10" t="str">
        <f>IF(AND('Mapa de Riesgos'!$Z$59="Muy Alta",'Mapa de Riesgos'!$AB$59="Menor"),CONCATENATE("R9C",'Mapa de Riesgos'!$P$59),"")</f>
        <v/>
      </c>
      <c r="Q14" s="11" t="str">
        <f>IF(AND('Mapa de Riesgos'!$Z$60="Muy Alta",'Mapa de Riesgos'!$AB$60="Menor"),CONCATENATE("R9C",'Mapa de Riesgos'!$P$60),"")</f>
        <v/>
      </c>
      <c r="R14" s="11" t="str">
        <f>IF(AND('Mapa de Riesgos'!$Z$61="Muy Alta",'Mapa de Riesgos'!$AB$61="Menor"),CONCATENATE("R9C",'Mapa de Riesgos'!$P$61),"")</f>
        <v/>
      </c>
      <c r="S14" s="11" t="str">
        <f>IF(AND('Mapa de Riesgos'!$Z$62="Muy Alta",'Mapa de Riesgos'!$AB$62="Menor"),CONCATENATE("R9C",'Mapa de Riesgos'!$P$62),"")</f>
        <v/>
      </c>
      <c r="T14" s="11" t="str">
        <f>IF(AND('Mapa de Riesgos'!$Z$63="Muy Alta",'Mapa de Riesgos'!$AB$63="Menor"),CONCATENATE("R9C",'Mapa de Riesgos'!$P$63),"")</f>
        <v/>
      </c>
      <c r="U14" s="12" t="str">
        <f>IF(AND('Mapa de Riesgos'!$Z$64="Muy Alta",'Mapa de Riesgos'!$AB$64="Menor"),CONCATENATE("R9C",'Mapa de Riesgos'!$P$64),"")</f>
        <v/>
      </c>
      <c r="V14" s="10" t="str">
        <f>IF(AND('Mapa de Riesgos'!$Z$59="Muy Alta",'Mapa de Riesgos'!$AB$59="Moderado"),CONCATENATE("R9C",'Mapa de Riesgos'!$P$59),"")</f>
        <v/>
      </c>
      <c r="W14" s="11" t="str">
        <f>IF(AND('Mapa de Riesgos'!$Z$60="Muy Alta",'Mapa de Riesgos'!$AB$60="Moderado"),CONCATENATE("R9C",'Mapa de Riesgos'!$P$60),"")</f>
        <v/>
      </c>
      <c r="X14" s="11" t="str">
        <f>IF(AND('Mapa de Riesgos'!$Z$61="Muy Alta",'Mapa de Riesgos'!$AB$61="Moderado"),CONCATENATE("R9C",'Mapa de Riesgos'!$P$61),"")</f>
        <v/>
      </c>
      <c r="Y14" s="11" t="str">
        <f>IF(AND('Mapa de Riesgos'!$Z$62="Muy Alta",'Mapa de Riesgos'!$AB$62="Moderado"),CONCATENATE("R9C",'Mapa de Riesgos'!$P$62),"")</f>
        <v/>
      </c>
      <c r="Z14" s="11" t="str">
        <f>IF(AND('Mapa de Riesgos'!$Z$63="Muy Alta",'Mapa de Riesgos'!$AB$63="Moderado"),CONCATENATE("R9C",'Mapa de Riesgos'!$P$63),"")</f>
        <v/>
      </c>
      <c r="AA14" s="12" t="str">
        <f>IF(AND('Mapa de Riesgos'!$Z$64="Muy Alta",'Mapa de Riesgos'!$AB$64="Moderado"),CONCATENATE("R9C",'Mapa de Riesgos'!$P$64),"")</f>
        <v/>
      </c>
      <c r="AB14" s="10" t="str">
        <f>IF(AND('Mapa de Riesgos'!$Z$59="Muy Alta",'Mapa de Riesgos'!$AB$59="Mayor"),CONCATENATE("R9C",'Mapa de Riesgos'!$P$59),"")</f>
        <v/>
      </c>
      <c r="AC14" s="11" t="str">
        <f>IF(AND('Mapa de Riesgos'!$Z$60="Muy Alta",'Mapa de Riesgos'!$AB$60="Mayor"),CONCATENATE("R9C",'Mapa de Riesgos'!$P$60),"")</f>
        <v/>
      </c>
      <c r="AD14" s="11" t="str">
        <f>IF(AND('Mapa de Riesgos'!$Z$61="Muy Alta",'Mapa de Riesgos'!$AB$61="Mayor"),CONCATENATE("R9C",'Mapa de Riesgos'!$P$61),"")</f>
        <v/>
      </c>
      <c r="AE14" s="11" t="str">
        <f>IF(AND('Mapa de Riesgos'!$Z$62="Muy Alta",'Mapa de Riesgos'!$AB$62="Mayor"),CONCATENATE("R9C",'Mapa de Riesgos'!$P$62),"")</f>
        <v/>
      </c>
      <c r="AF14" s="11" t="str">
        <f>IF(AND('Mapa de Riesgos'!$Z$63="Muy Alta",'Mapa de Riesgos'!$AB$63="Mayor"),CONCATENATE("R9C",'Mapa de Riesgos'!$P$63),"")</f>
        <v/>
      </c>
      <c r="AG14" s="12" t="str">
        <f>IF(AND('Mapa de Riesgos'!$Z$64="Muy Alta",'Mapa de Riesgos'!$AB$64="Mayor"),CONCATENATE("R9C",'Mapa de Riesgos'!$P$64),"")</f>
        <v/>
      </c>
      <c r="AH14" s="13" t="str">
        <f>IF(AND('Mapa de Riesgos'!$Z$59="Muy Alta",'Mapa de Riesgos'!$AB$59="Catastrófico"),CONCATENATE("R9C",'Mapa de Riesgos'!$P$59),"")</f>
        <v/>
      </c>
      <c r="AI14" s="14" t="str">
        <f>IF(AND('Mapa de Riesgos'!$Z$60="Muy Alta",'Mapa de Riesgos'!$AB$60="Catastrófico"),CONCATENATE("R9C",'Mapa de Riesgos'!$P$60),"")</f>
        <v/>
      </c>
      <c r="AJ14" s="14" t="str">
        <f>IF(AND('Mapa de Riesgos'!$Z$61="Muy Alta",'Mapa de Riesgos'!$AB$61="Catastrófico"),CONCATENATE("R9C",'Mapa de Riesgos'!$P$61),"")</f>
        <v/>
      </c>
      <c r="AK14" s="14" t="str">
        <f>IF(AND('Mapa de Riesgos'!$Z$62="Muy Alta",'Mapa de Riesgos'!$AB$62="Catastrófico"),CONCATENATE("R9C",'Mapa de Riesgos'!$P$62),"")</f>
        <v/>
      </c>
      <c r="AL14" s="14" t="str">
        <f>IF(AND('Mapa de Riesgos'!$Z$63="Muy Alta",'Mapa de Riesgos'!$AB$63="Catastrófico"),CONCATENATE("R9C",'Mapa de Riesgos'!$P$63),"")</f>
        <v/>
      </c>
      <c r="AM14" s="15" t="str">
        <f>IF(AND('Mapa de Riesgos'!$Z$64="Muy Alta",'Mapa de Riesgos'!$AB$64="Catastrófico"),CONCATENATE("R9C",'Mapa de Riesgos'!$P$64),"")</f>
        <v/>
      </c>
      <c r="AN14" s="41"/>
      <c r="AO14" s="445"/>
      <c r="AP14" s="446"/>
      <c r="AQ14" s="446"/>
      <c r="AR14" s="446"/>
      <c r="AS14" s="446"/>
      <c r="AT14" s="447"/>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row>
    <row r="15" spans="1:91" ht="15.75" customHeight="1" thickBot="1" x14ac:dyDescent="0.3">
      <c r="A15" s="41"/>
      <c r="B15" s="340"/>
      <c r="C15" s="340"/>
      <c r="D15" s="341"/>
      <c r="E15" s="440"/>
      <c r="F15" s="441"/>
      <c r="G15" s="441"/>
      <c r="H15" s="441"/>
      <c r="I15" s="455"/>
      <c r="J15" s="16" t="str">
        <f>IF(AND('Mapa de Riesgos'!$Z$65="Muy Alta",'Mapa de Riesgos'!$AB$65="Leve"),CONCATENATE("R10C",'Mapa de Riesgos'!$P$65),"")</f>
        <v/>
      </c>
      <c r="K15" s="17" t="str">
        <f>IF(AND('Mapa de Riesgos'!$Z$66="Muy Alta",'Mapa de Riesgos'!$AB$66="Leve"),CONCATENATE("R10C",'Mapa de Riesgos'!$P$66),"")</f>
        <v/>
      </c>
      <c r="L15" s="17" t="str">
        <f>IF(AND('Mapa de Riesgos'!$Z$67="Muy Alta",'Mapa de Riesgos'!$AB$67="Leve"),CONCATENATE("R10C",'Mapa de Riesgos'!$P$67),"")</f>
        <v/>
      </c>
      <c r="M15" s="17" t="str">
        <f>IF(AND('Mapa de Riesgos'!$Z$68="Muy Alta",'Mapa de Riesgos'!$AB$68="Leve"),CONCATENATE("R10C",'Mapa de Riesgos'!$P$68),"")</f>
        <v/>
      </c>
      <c r="N15" s="17" t="str">
        <f>IF(AND('Mapa de Riesgos'!$Z$69="Muy Alta",'Mapa de Riesgos'!$AB$69="Leve"),CONCATENATE("R10C",'Mapa de Riesgos'!$P$69),"")</f>
        <v/>
      </c>
      <c r="O15" s="18" t="str">
        <f>IF(AND('Mapa de Riesgos'!$Z$70="Muy Alta",'Mapa de Riesgos'!$AB$70="Leve"),CONCATENATE("R10C",'Mapa de Riesgos'!$P$70),"")</f>
        <v/>
      </c>
      <c r="P15" s="10" t="str">
        <f>IF(AND('Mapa de Riesgos'!$Z$65="Muy Alta",'Mapa de Riesgos'!$AB$65="Menor"),CONCATENATE("R10C",'Mapa de Riesgos'!$P$65),"")</f>
        <v/>
      </c>
      <c r="Q15" s="11" t="str">
        <f>IF(AND('Mapa de Riesgos'!$Z$66="Muy Alta",'Mapa de Riesgos'!$AB$66="Menor"),CONCATENATE("R10C",'Mapa de Riesgos'!$P$66),"")</f>
        <v/>
      </c>
      <c r="R15" s="11" t="str">
        <f>IF(AND('Mapa de Riesgos'!$Z$67="Muy Alta",'Mapa de Riesgos'!$AB$67="Menor"),CONCATENATE("R10C",'Mapa de Riesgos'!$P$67),"")</f>
        <v/>
      </c>
      <c r="S15" s="11" t="str">
        <f>IF(AND('Mapa de Riesgos'!$Z$68="Muy Alta",'Mapa de Riesgos'!$AB$68="Menor"),CONCATENATE("R10C",'Mapa de Riesgos'!$P$68),"")</f>
        <v/>
      </c>
      <c r="T15" s="11" t="str">
        <f>IF(AND('Mapa de Riesgos'!$Z$69="Muy Alta",'Mapa de Riesgos'!$AB$69="Menor"),CONCATENATE("R10C",'Mapa de Riesgos'!$P$69),"")</f>
        <v/>
      </c>
      <c r="U15" s="12" t="str">
        <f>IF(AND('Mapa de Riesgos'!$Z$70="Muy Alta",'Mapa de Riesgos'!$AB$70="Menor"),CONCATENATE("R10C",'Mapa de Riesgos'!$P$70),"")</f>
        <v/>
      </c>
      <c r="V15" s="16" t="str">
        <f>IF(AND('Mapa de Riesgos'!$Z$65="Muy Alta",'Mapa de Riesgos'!$AB$65="Moderado"),CONCATENATE("R10C",'Mapa de Riesgos'!$P$65),"")</f>
        <v/>
      </c>
      <c r="W15" s="17" t="str">
        <f>IF(AND('Mapa de Riesgos'!$Z$66="Muy Alta",'Mapa de Riesgos'!$AB$66="Moderado"),CONCATENATE("R10C",'Mapa de Riesgos'!$P$66),"")</f>
        <v/>
      </c>
      <c r="X15" s="17" t="str">
        <f>IF(AND('Mapa de Riesgos'!$Z$67="Muy Alta",'Mapa de Riesgos'!$AB$67="Moderado"),CONCATENATE("R10C",'Mapa de Riesgos'!$P$67),"")</f>
        <v/>
      </c>
      <c r="Y15" s="17" t="str">
        <f>IF(AND('Mapa de Riesgos'!$Z$68="Muy Alta",'Mapa de Riesgos'!$AB$68="Moderado"),CONCATENATE("R10C",'Mapa de Riesgos'!$P$68),"")</f>
        <v/>
      </c>
      <c r="Z15" s="17" t="str">
        <f>IF(AND('Mapa de Riesgos'!$Z$69="Muy Alta",'Mapa de Riesgos'!$AB$69="Moderado"),CONCATENATE("R10C",'Mapa de Riesgos'!$P$69),"")</f>
        <v/>
      </c>
      <c r="AA15" s="18" t="str">
        <f>IF(AND('Mapa de Riesgos'!$Z$70="Muy Alta",'Mapa de Riesgos'!$AB$70="Moderado"),CONCATENATE("R10C",'Mapa de Riesgos'!$P$70),"")</f>
        <v/>
      </c>
      <c r="AB15" s="10" t="str">
        <f>IF(AND('Mapa de Riesgos'!$Z$65="Muy Alta",'Mapa de Riesgos'!$AB$65="Mayor"),CONCATENATE("R10C",'Mapa de Riesgos'!$P$65),"")</f>
        <v/>
      </c>
      <c r="AC15" s="11" t="str">
        <f>IF(AND('Mapa de Riesgos'!$Z$66="Muy Alta",'Mapa de Riesgos'!$AB$66="Mayor"),CONCATENATE("R10C",'Mapa de Riesgos'!$P$66),"")</f>
        <v/>
      </c>
      <c r="AD15" s="11" t="str">
        <f>IF(AND('Mapa de Riesgos'!$Z$67="Muy Alta",'Mapa de Riesgos'!$AB$67="Mayor"),CONCATENATE("R10C",'Mapa de Riesgos'!$P$67),"")</f>
        <v/>
      </c>
      <c r="AE15" s="11" t="str">
        <f>IF(AND('Mapa de Riesgos'!$Z$68="Muy Alta",'Mapa de Riesgos'!$AB$68="Mayor"),CONCATENATE("R10C",'Mapa de Riesgos'!$P$68),"")</f>
        <v/>
      </c>
      <c r="AF15" s="11" t="str">
        <f>IF(AND('Mapa de Riesgos'!$Z$69="Muy Alta",'Mapa de Riesgos'!$AB$69="Mayor"),CONCATENATE("R10C",'Mapa de Riesgos'!$P$69),"")</f>
        <v/>
      </c>
      <c r="AG15" s="12" t="str">
        <f>IF(AND('Mapa de Riesgos'!$Z$70="Muy Alta",'Mapa de Riesgos'!$AB$70="Mayor"),CONCATENATE("R10C",'Mapa de Riesgos'!$P$70),"")</f>
        <v/>
      </c>
      <c r="AH15" s="19" t="str">
        <f>IF(AND('Mapa de Riesgos'!$Z$65="Muy Alta",'Mapa de Riesgos'!$AB$65="Catastrófico"),CONCATENATE("R10C",'Mapa de Riesgos'!$P$65),"")</f>
        <v/>
      </c>
      <c r="AI15" s="20" t="str">
        <f>IF(AND('Mapa de Riesgos'!$Z$66="Muy Alta",'Mapa de Riesgos'!$AB$66="Catastrófico"),CONCATENATE("R10C",'Mapa de Riesgos'!$P$66),"")</f>
        <v/>
      </c>
      <c r="AJ15" s="20" t="str">
        <f>IF(AND('Mapa de Riesgos'!$Z$67="Muy Alta",'Mapa de Riesgos'!$AB$67="Catastrófico"),CONCATENATE("R10C",'Mapa de Riesgos'!$P$67),"")</f>
        <v/>
      </c>
      <c r="AK15" s="20" t="str">
        <f>IF(AND('Mapa de Riesgos'!$Z$68="Muy Alta",'Mapa de Riesgos'!$AB$68="Catastrófico"),CONCATENATE("R10C",'Mapa de Riesgos'!$P$68),"")</f>
        <v/>
      </c>
      <c r="AL15" s="20" t="str">
        <f>IF(AND('Mapa de Riesgos'!$Z$69="Muy Alta",'Mapa de Riesgos'!$AB$69="Catastrófico"),CONCATENATE("R10C",'Mapa de Riesgos'!$P$69),"")</f>
        <v/>
      </c>
      <c r="AM15" s="21" t="str">
        <f>IF(AND('Mapa de Riesgos'!$Z$70="Muy Alta",'Mapa de Riesgos'!$AB$70="Catastrófico"),CONCATENATE("R10C",'Mapa de Riesgos'!$P$70),"")</f>
        <v/>
      </c>
      <c r="AN15" s="41"/>
      <c r="AO15" s="448"/>
      <c r="AP15" s="449"/>
      <c r="AQ15" s="449"/>
      <c r="AR15" s="449"/>
      <c r="AS15" s="449"/>
      <c r="AT15" s="450"/>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row>
    <row r="16" spans="1:91" ht="15" customHeight="1" x14ac:dyDescent="0.25">
      <c r="A16" s="41"/>
      <c r="B16" s="340"/>
      <c r="C16" s="340"/>
      <c r="D16" s="341"/>
      <c r="E16" s="435" t="s">
        <v>113</v>
      </c>
      <c r="F16" s="436"/>
      <c r="G16" s="436"/>
      <c r="H16" s="436"/>
      <c r="I16" s="436"/>
      <c r="J16" s="22" t="str">
        <f>IF(AND('Mapa de Riesgos'!$Z$11="Alta",'Mapa de Riesgos'!$AB$11="Leve"),CONCATENATE("R1C",'Mapa de Riesgos'!$P$11),"")</f>
        <v/>
      </c>
      <c r="K16" s="23" t="str">
        <f>IF(AND('Mapa de Riesgos'!$Z$12="Alta",'Mapa de Riesgos'!$AB$12="Leve"),CONCATENATE("R1C",'Mapa de Riesgos'!$P$12),"")</f>
        <v/>
      </c>
      <c r="L16" s="23" t="str">
        <f>IF(AND('Mapa de Riesgos'!$Z$13="Alta",'Mapa de Riesgos'!$AB$13="Leve"),CONCATENATE("R1C",'Mapa de Riesgos'!$P$13),"")</f>
        <v/>
      </c>
      <c r="M16" s="23" t="str">
        <f>IF(AND('Mapa de Riesgos'!$Z$14="Alta",'Mapa de Riesgos'!$AB$14="Leve"),CONCATENATE("R1C",'Mapa de Riesgos'!$P$14),"")</f>
        <v/>
      </c>
      <c r="N16" s="23" t="str">
        <f>IF(AND('Mapa de Riesgos'!$Z$15="Alta",'Mapa de Riesgos'!$AB$15="Leve"),CONCATENATE("R1C",'Mapa de Riesgos'!$P$15),"")</f>
        <v/>
      </c>
      <c r="O16" s="24" t="str">
        <f>IF(AND('Mapa de Riesgos'!$Z$16="Alta",'Mapa de Riesgos'!$AB$16="Leve"),CONCATENATE("R1C",'Mapa de Riesgos'!$P$16),"")</f>
        <v/>
      </c>
      <c r="P16" s="22" t="str">
        <f>IF(AND('Mapa de Riesgos'!$Z$11="Alta",'Mapa de Riesgos'!$AB$11="Menor"),CONCATENATE("R1C",'Mapa de Riesgos'!$P$11),"")</f>
        <v/>
      </c>
      <c r="Q16" s="23" t="str">
        <f>IF(AND('Mapa de Riesgos'!$Z$12="Alta",'Mapa de Riesgos'!$AB$12="Menor"),CONCATENATE("R1C",'Mapa de Riesgos'!$P$12),"")</f>
        <v/>
      </c>
      <c r="R16" s="23" t="str">
        <f>IF(AND('Mapa de Riesgos'!$Z$13="Alta",'Mapa de Riesgos'!$AB$13="Menor"),CONCATENATE("R1C",'Mapa de Riesgos'!$P$13),"")</f>
        <v/>
      </c>
      <c r="S16" s="23" t="str">
        <f>IF(AND('Mapa de Riesgos'!$Z$14="Alta",'Mapa de Riesgos'!$AB$14="Menor"),CONCATENATE("R1C",'Mapa de Riesgos'!$P$14),"")</f>
        <v/>
      </c>
      <c r="T16" s="23" t="str">
        <f>IF(AND('Mapa de Riesgos'!$Z$15="Alta",'Mapa de Riesgos'!$AB$15="Menor"),CONCATENATE("R1C",'Mapa de Riesgos'!$P$15),"")</f>
        <v/>
      </c>
      <c r="U16" s="24" t="str">
        <f>IF(AND('Mapa de Riesgos'!$Z$16="Alta",'Mapa de Riesgos'!$AB$16="Menor"),CONCATENATE("R1C",'Mapa de Riesgos'!$P$16),"")</f>
        <v/>
      </c>
      <c r="V16" s="4" t="str">
        <f>IF(AND('Mapa de Riesgos'!$Z$11="Alta",'Mapa de Riesgos'!$AB$11="Moderado"),CONCATENATE("R1C",'Mapa de Riesgos'!$P$11),"")</f>
        <v/>
      </c>
      <c r="W16" s="5" t="str">
        <f>IF(AND('Mapa de Riesgos'!$Z$12="Alta",'Mapa de Riesgos'!$AB$12="Moderado"),CONCATENATE("R1C",'Mapa de Riesgos'!$P$12),"")</f>
        <v/>
      </c>
      <c r="X16" s="5" t="str">
        <f>IF(AND('Mapa de Riesgos'!$Z$13="Alta",'Mapa de Riesgos'!$AB$13="Moderado"),CONCATENATE("R1C",'Mapa de Riesgos'!$P$13),"")</f>
        <v/>
      </c>
      <c r="Y16" s="5" t="str">
        <f>IF(AND('Mapa de Riesgos'!$Z$14="Alta",'Mapa de Riesgos'!$AB$14="Moderado"),CONCATENATE("R1C",'Mapa de Riesgos'!$P$14),"")</f>
        <v/>
      </c>
      <c r="Z16" s="5" t="str">
        <f>IF(AND('Mapa de Riesgos'!$Z$15="Alta",'Mapa de Riesgos'!$AB$15="Moderado"),CONCATENATE("R1C",'Mapa de Riesgos'!$P$15),"")</f>
        <v/>
      </c>
      <c r="AA16" s="6" t="str">
        <f>IF(AND('Mapa de Riesgos'!$Z$16="Alta",'Mapa de Riesgos'!$AB$16="Moderado"),CONCATENATE("R1C",'Mapa de Riesgos'!$P$16),"")</f>
        <v/>
      </c>
      <c r="AB16" s="4" t="str">
        <f>IF(AND('Mapa de Riesgos'!$Z$11="Alta",'Mapa de Riesgos'!$AB$11="Mayor"),CONCATENATE("R1C",'Mapa de Riesgos'!$P$11),"")</f>
        <v/>
      </c>
      <c r="AC16" s="5" t="str">
        <f>IF(AND('Mapa de Riesgos'!$Z$12="Alta",'Mapa de Riesgos'!$AB$12="Mayor"),CONCATENATE("R1C",'Mapa de Riesgos'!$P$12),"")</f>
        <v/>
      </c>
      <c r="AD16" s="5" t="str">
        <f>IF(AND('Mapa de Riesgos'!$Z$13="Alta",'Mapa de Riesgos'!$AB$13="Mayor"),CONCATENATE("R1C",'Mapa de Riesgos'!$P$13),"")</f>
        <v/>
      </c>
      <c r="AE16" s="5" t="str">
        <f>IF(AND('Mapa de Riesgos'!$Z$14="Alta",'Mapa de Riesgos'!$AB$14="Mayor"),CONCATENATE("R1C",'Mapa de Riesgos'!$P$14),"")</f>
        <v/>
      </c>
      <c r="AF16" s="5" t="str">
        <f>IF(AND('Mapa de Riesgos'!$Z$15="Alta",'Mapa de Riesgos'!$AB$15="Mayor"),CONCATENATE("R1C",'Mapa de Riesgos'!$P$15),"")</f>
        <v/>
      </c>
      <c r="AG16" s="6" t="str">
        <f>IF(AND('Mapa de Riesgos'!$Z$16="Alta",'Mapa de Riesgos'!$AB$16="Mayor"),CONCATENATE("R1C",'Mapa de Riesgos'!$P$16),"")</f>
        <v/>
      </c>
      <c r="AH16" s="7" t="str">
        <f>IF(AND('Mapa de Riesgos'!$Z$11="Alta",'Mapa de Riesgos'!$AB$11="Catastrófico"),CONCATENATE("R1C",'Mapa de Riesgos'!$P$11),"")</f>
        <v/>
      </c>
      <c r="AI16" s="8" t="str">
        <f>IF(AND('Mapa de Riesgos'!$Z$12="Alta",'Mapa de Riesgos'!$AB$12="Catastrófico"),CONCATENATE("R1C",'Mapa de Riesgos'!$P$12),"")</f>
        <v/>
      </c>
      <c r="AJ16" s="8" t="str">
        <f>IF(AND('Mapa de Riesgos'!$Z$13="Alta",'Mapa de Riesgos'!$AB$13="Catastrófico"),CONCATENATE("R1C",'Mapa de Riesgos'!$P$13),"")</f>
        <v/>
      </c>
      <c r="AK16" s="8" t="str">
        <f>IF(AND('Mapa de Riesgos'!$Z$14="Alta",'Mapa de Riesgos'!$AB$14="Catastrófico"),CONCATENATE("R1C",'Mapa de Riesgos'!$P$14),"")</f>
        <v/>
      </c>
      <c r="AL16" s="8" t="str">
        <f>IF(AND('Mapa de Riesgos'!$Z$15="Alta",'Mapa de Riesgos'!$AB$15="Catastrófico"),CONCATENATE("R1C",'Mapa de Riesgos'!$P$15),"")</f>
        <v/>
      </c>
      <c r="AM16" s="9" t="str">
        <f>IF(AND('Mapa de Riesgos'!$Z$16="Alta",'Mapa de Riesgos'!$AB$16="Catastrófico"),CONCATENATE("R1C",'Mapa de Riesgos'!$P$16),"")</f>
        <v/>
      </c>
      <c r="AN16" s="41"/>
      <c r="AO16" s="426" t="s">
        <v>114</v>
      </c>
      <c r="AP16" s="427"/>
      <c r="AQ16" s="427"/>
      <c r="AR16" s="427"/>
      <c r="AS16" s="427"/>
      <c r="AT16" s="428"/>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x14ac:dyDescent="0.25">
      <c r="A17" s="41"/>
      <c r="B17" s="340"/>
      <c r="C17" s="340"/>
      <c r="D17" s="341"/>
      <c r="E17" s="437"/>
      <c r="F17" s="438"/>
      <c r="G17" s="438"/>
      <c r="H17" s="438"/>
      <c r="I17" s="438"/>
      <c r="J17" s="25" t="str">
        <f>IF(AND('Mapa de Riesgos'!$Z$29="Alta",'Mapa de Riesgos'!$AB$29="Leve"),CONCATENATE("R2C",'Mapa de Riesgos'!$P$29),"")</f>
        <v/>
      </c>
      <c r="K17" s="26" t="str">
        <f>IF(AND('Mapa de Riesgos'!$Z$30="Alta",'Mapa de Riesgos'!$AB$30="Leve"),CONCATENATE("R2C",'Mapa de Riesgos'!$P$30),"")</f>
        <v/>
      </c>
      <c r="L17" s="26" t="str">
        <f>IF(AND('Mapa de Riesgos'!$Z$31="Alta",'Mapa de Riesgos'!$AB$31="Leve"),CONCATENATE("R2C",'Mapa de Riesgos'!$P$31),"")</f>
        <v/>
      </c>
      <c r="M17" s="26" t="str">
        <f>IF(AND('Mapa de Riesgos'!$Z$32="Alta",'Mapa de Riesgos'!$AB$32="Leve"),CONCATENATE("R2C",'Mapa de Riesgos'!$P$32),"")</f>
        <v/>
      </c>
      <c r="N17" s="26" t="str">
        <f>IF(AND('Mapa de Riesgos'!$Z$33="Alta",'Mapa de Riesgos'!$AB$33="Leve"),CONCATENATE("R2C",'Mapa de Riesgos'!$P$33),"")</f>
        <v/>
      </c>
      <c r="O17" s="27" t="str">
        <f>IF(AND('Mapa de Riesgos'!$Z$34="Alta",'Mapa de Riesgos'!$AB$34="Leve"),CONCATENATE("R2C",'Mapa de Riesgos'!$P$34),"")</f>
        <v/>
      </c>
      <c r="P17" s="25" t="str">
        <f>IF(AND('Mapa de Riesgos'!$Z$29="Alta",'Mapa de Riesgos'!$AB$29="Menor"),CONCATENATE("R2C",'Mapa de Riesgos'!$P$29),"")</f>
        <v/>
      </c>
      <c r="Q17" s="26" t="str">
        <f>IF(AND('Mapa de Riesgos'!$Z$30="Alta",'Mapa de Riesgos'!$AB$30="Menor"),CONCATENATE("R2C",'Mapa de Riesgos'!$P$30),"")</f>
        <v/>
      </c>
      <c r="R17" s="26" t="str">
        <f>IF(AND('Mapa de Riesgos'!$Z$31="Alta",'Mapa de Riesgos'!$AB$31="Menor"),CONCATENATE("R2C",'Mapa de Riesgos'!$P$31),"")</f>
        <v/>
      </c>
      <c r="S17" s="26" t="str">
        <f>IF(AND('Mapa de Riesgos'!$Z$32="Alta",'Mapa de Riesgos'!$AB$32="Menor"),CONCATENATE("R2C",'Mapa de Riesgos'!$P$32),"")</f>
        <v/>
      </c>
      <c r="T17" s="26" t="str">
        <f>IF(AND('Mapa de Riesgos'!$Z$33="Alta",'Mapa de Riesgos'!$AB$33="Menor"),CONCATENATE("R2C",'Mapa de Riesgos'!$P$33),"")</f>
        <v/>
      </c>
      <c r="U17" s="27" t="str">
        <f>IF(AND('Mapa de Riesgos'!$Z$34="Alta",'Mapa de Riesgos'!$AB$34="Menor"),CONCATENATE("R2C",'Mapa de Riesgos'!$P$34),"")</f>
        <v/>
      </c>
      <c r="V17" s="10" t="str">
        <f>IF(AND('Mapa de Riesgos'!$Z$29="Alta",'Mapa de Riesgos'!$AB$29="Moderado"),CONCATENATE("R2C",'Mapa de Riesgos'!$P$29),"")</f>
        <v/>
      </c>
      <c r="W17" s="11" t="str">
        <f>IF(AND('Mapa de Riesgos'!$Z$30="Alta",'Mapa de Riesgos'!$AB$30="Moderado"),CONCATENATE("R2C",'Mapa de Riesgos'!$P$30),"")</f>
        <v/>
      </c>
      <c r="X17" s="11" t="str">
        <f>IF(AND('Mapa de Riesgos'!$Z$31="Alta",'Mapa de Riesgos'!$AB$31="Moderado"),CONCATENATE("R2C",'Mapa de Riesgos'!$P$31),"")</f>
        <v/>
      </c>
      <c r="Y17" s="11" t="str">
        <f>IF(AND('Mapa de Riesgos'!$Z$32="Alta",'Mapa de Riesgos'!$AB$32="Moderado"),CONCATENATE("R2C",'Mapa de Riesgos'!$P$32),"")</f>
        <v/>
      </c>
      <c r="Z17" s="11" t="str">
        <f>IF(AND('Mapa de Riesgos'!$Z$33="Alta",'Mapa de Riesgos'!$AB$33="Moderado"),CONCATENATE("R2C",'Mapa de Riesgos'!$P$33),"")</f>
        <v/>
      </c>
      <c r="AA17" s="12" t="str">
        <f>IF(AND('Mapa de Riesgos'!$Z$34="Alta",'Mapa de Riesgos'!$AB$34="Moderado"),CONCATENATE("R2C",'Mapa de Riesgos'!$P$34),"")</f>
        <v/>
      </c>
      <c r="AB17" s="10" t="str">
        <f>IF(AND('Mapa de Riesgos'!$Z$29="Alta",'Mapa de Riesgos'!$AB$29="Mayor"),CONCATENATE("R2C",'Mapa de Riesgos'!$P$29),"")</f>
        <v/>
      </c>
      <c r="AC17" s="11" t="str">
        <f>IF(AND('Mapa de Riesgos'!$Z$30="Alta",'Mapa de Riesgos'!$AB$30="Mayor"),CONCATENATE("R2C",'Mapa de Riesgos'!$P$30),"")</f>
        <v/>
      </c>
      <c r="AD17" s="11" t="str">
        <f>IF(AND('Mapa de Riesgos'!$Z$31="Alta",'Mapa de Riesgos'!$AB$31="Mayor"),CONCATENATE("R2C",'Mapa de Riesgos'!$P$31),"")</f>
        <v/>
      </c>
      <c r="AE17" s="11" t="str">
        <f>IF(AND('Mapa de Riesgos'!$Z$32="Alta",'Mapa de Riesgos'!$AB$32="Mayor"),CONCATENATE("R2C",'Mapa de Riesgos'!$P$32),"")</f>
        <v/>
      </c>
      <c r="AF17" s="11" t="str">
        <f>IF(AND('Mapa de Riesgos'!$Z$33="Alta",'Mapa de Riesgos'!$AB$33="Mayor"),CONCATENATE("R2C",'Mapa de Riesgos'!$P$33),"")</f>
        <v/>
      </c>
      <c r="AG17" s="12" t="str">
        <f>IF(AND('Mapa de Riesgos'!$Z$34="Alta",'Mapa de Riesgos'!$AB$34="Mayor"),CONCATENATE("R2C",'Mapa de Riesgos'!$P$34),"")</f>
        <v/>
      </c>
      <c r="AH17" s="13" t="str">
        <f>IF(AND('Mapa de Riesgos'!$Z$29="Alta",'Mapa de Riesgos'!$AB$29="Catastrófico"),CONCATENATE("R2C",'Mapa de Riesgos'!$P$29),"")</f>
        <v/>
      </c>
      <c r="AI17" s="14" t="str">
        <f>IF(AND('Mapa de Riesgos'!$Z$30="Alta",'Mapa de Riesgos'!$AB$30="Catastrófico"),CONCATENATE("R2C",'Mapa de Riesgos'!$P$30),"")</f>
        <v/>
      </c>
      <c r="AJ17" s="14" t="str">
        <f>IF(AND('Mapa de Riesgos'!$Z$31="Alta",'Mapa de Riesgos'!$AB$31="Catastrófico"),CONCATENATE("R2C",'Mapa de Riesgos'!$P$31),"")</f>
        <v/>
      </c>
      <c r="AK17" s="14" t="str">
        <f>IF(AND('Mapa de Riesgos'!$Z$32="Alta",'Mapa de Riesgos'!$AB$32="Catastrófico"),CONCATENATE("R2C",'Mapa de Riesgos'!$P$32),"")</f>
        <v/>
      </c>
      <c r="AL17" s="14" t="str">
        <f>IF(AND('Mapa de Riesgos'!$Z$33="Alta",'Mapa de Riesgos'!$AB$33="Catastrófico"),CONCATENATE("R2C",'Mapa de Riesgos'!$P$33),"")</f>
        <v/>
      </c>
      <c r="AM17" s="15" t="str">
        <f>IF(AND('Mapa de Riesgos'!$Z$34="Alta",'Mapa de Riesgos'!$AB$34="Catastrófico"),CONCATENATE("R2C",'Mapa de Riesgos'!$P$34),"")</f>
        <v/>
      </c>
      <c r="AN17" s="41"/>
      <c r="AO17" s="429"/>
      <c r="AP17" s="430"/>
      <c r="AQ17" s="430"/>
      <c r="AR17" s="430"/>
      <c r="AS17" s="430"/>
      <c r="AT17" s="43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x14ac:dyDescent="0.25">
      <c r="A18" s="41"/>
      <c r="B18" s="340"/>
      <c r="C18" s="340"/>
      <c r="D18" s="341"/>
      <c r="E18" s="439"/>
      <c r="F18" s="438"/>
      <c r="G18" s="438"/>
      <c r="H18" s="438"/>
      <c r="I18" s="438"/>
      <c r="J18" s="25" t="str">
        <f>IF(AND('Mapa de Riesgos'!$Z$35="Alta",'Mapa de Riesgos'!$AB$35="Leve"),CONCATENATE("R3C",'Mapa de Riesgos'!$P$35),"")</f>
        <v/>
      </c>
      <c r="K18" s="26" t="str">
        <f>IF(AND('Mapa de Riesgos'!$Z$36="Alta",'Mapa de Riesgos'!$AB$36="Leve"),CONCATENATE("R3C",'Mapa de Riesgos'!$P$36),"")</f>
        <v/>
      </c>
      <c r="L18" s="26" t="str">
        <f>IF(AND('Mapa de Riesgos'!$Z$37="Alta",'Mapa de Riesgos'!$AB$37="Leve"),CONCATENATE("R3C",'Mapa de Riesgos'!$P$37),"")</f>
        <v/>
      </c>
      <c r="M18" s="26" t="str">
        <f>IF(AND('Mapa de Riesgos'!$Z$38="Alta",'Mapa de Riesgos'!$AB$38="Leve"),CONCATENATE("R3C",'Mapa de Riesgos'!$P$38),"")</f>
        <v/>
      </c>
      <c r="N18" s="26" t="str">
        <f>IF(AND('Mapa de Riesgos'!$Z$39="Alta",'Mapa de Riesgos'!$AB$39="Leve"),CONCATENATE("R3C",'Mapa de Riesgos'!$P$39),"")</f>
        <v/>
      </c>
      <c r="O18" s="27" t="str">
        <f>IF(AND('Mapa de Riesgos'!$Z$40="Alta",'Mapa de Riesgos'!$AB$40="Leve"),CONCATENATE("R3C",'Mapa de Riesgos'!$P$40),"")</f>
        <v/>
      </c>
      <c r="P18" s="25" t="str">
        <f>IF(AND('Mapa de Riesgos'!$Z$35="Alta",'Mapa de Riesgos'!$AB$35="Menor"),CONCATENATE("R3C",'Mapa de Riesgos'!$P$35),"")</f>
        <v/>
      </c>
      <c r="Q18" s="26" t="str">
        <f>IF(AND('Mapa de Riesgos'!$Z$36="Alta",'Mapa de Riesgos'!$AB$36="Menor"),CONCATENATE("R3C",'Mapa de Riesgos'!$P$36),"")</f>
        <v/>
      </c>
      <c r="R18" s="26" t="str">
        <f>IF(AND('Mapa de Riesgos'!$Z$37="Alta",'Mapa de Riesgos'!$AB$37="Menor"),CONCATENATE("R3C",'Mapa de Riesgos'!$P$37),"")</f>
        <v/>
      </c>
      <c r="S18" s="26" t="str">
        <f>IF(AND('Mapa de Riesgos'!$Z$38="Alta",'Mapa de Riesgos'!$AB$38="Menor"),CONCATENATE("R3C",'Mapa de Riesgos'!$P$38),"")</f>
        <v/>
      </c>
      <c r="T18" s="26" t="str">
        <f>IF(AND('Mapa de Riesgos'!$Z$39="Alta",'Mapa de Riesgos'!$AB$39="Menor"),CONCATENATE("R3C",'Mapa de Riesgos'!$P$39),"")</f>
        <v/>
      </c>
      <c r="U18" s="27" t="str">
        <f>IF(AND('Mapa de Riesgos'!$Z$40="Alta",'Mapa de Riesgos'!$AB$40="Menor"),CONCATENATE("R3C",'Mapa de Riesgos'!$P$40),"")</f>
        <v/>
      </c>
      <c r="V18" s="10" t="str">
        <f>IF(AND('Mapa de Riesgos'!$Z$35="Alta",'Mapa de Riesgos'!$AB$35="Moderado"),CONCATENATE("R3C",'Mapa de Riesgos'!$P$35),"")</f>
        <v/>
      </c>
      <c r="W18" s="11" t="str">
        <f>IF(AND('Mapa de Riesgos'!$Z$36="Alta",'Mapa de Riesgos'!$AB$36="Moderado"),CONCATENATE("R3C",'Mapa de Riesgos'!$P$36),"")</f>
        <v/>
      </c>
      <c r="X18" s="11" t="str">
        <f>IF(AND('Mapa de Riesgos'!$Z$37="Alta",'Mapa de Riesgos'!$AB$37="Moderado"),CONCATENATE("R3C",'Mapa de Riesgos'!$P$37),"")</f>
        <v/>
      </c>
      <c r="Y18" s="11" t="str">
        <f>IF(AND('Mapa de Riesgos'!$Z$38="Alta",'Mapa de Riesgos'!$AB$38="Moderado"),CONCATENATE("R3C",'Mapa de Riesgos'!$P$38),"")</f>
        <v/>
      </c>
      <c r="Z18" s="11" t="str">
        <f>IF(AND('Mapa de Riesgos'!$Z$39="Alta",'Mapa de Riesgos'!$AB$39="Moderado"),CONCATENATE("R3C",'Mapa de Riesgos'!$P$39),"")</f>
        <v/>
      </c>
      <c r="AA18" s="12" t="str">
        <f>IF(AND('Mapa de Riesgos'!$Z$40="Alta",'Mapa de Riesgos'!$AB$40="Moderado"),CONCATENATE("R3C",'Mapa de Riesgos'!$P$40),"")</f>
        <v/>
      </c>
      <c r="AB18" s="10" t="str">
        <f>IF(AND('Mapa de Riesgos'!$Z$35="Alta",'Mapa de Riesgos'!$AB$35="Mayor"),CONCATENATE("R3C",'Mapa de Riesgos'!$P$35),"")</f>
        <v/>
      </c>
      <c r="AC18" s="11" t="str">
        <f>IF(AND('Mapa de Riesgos'!$Z$36="Alta",'Mapa de Riesgos'!$AB$36="Mayor"),CONCATENATE("R3C",'Mapa de Riesgos'!$P$36),"")</f>
        <v/>
      </c>
      <c r="AD18" s="11" t="str">
        <f>IF(AND('Mapa de Riesgos'!$Z$37="Alta",'Mapa de Riesgos'!$AB$37="Mayor"),CONCATENATE("R3C",'Mapa de Riesgos'!$P$37),"")</f>
        <v/>
      </c>
      <c r="AE18" s="11" t="str">
        <f>IF(AND('Mapa de Riesgos'!$Z$38="Alta",'Mapa de Riesgos'!$AB$38="Mayor"),CONCATENATE("R3C",'Mapa de Riesgos'!$P$38),"")</f>
        <v/>
      </c>
      <c r="AF18" s="11" t="str">
        <f>IF(AND('Mapa de Riesgos'!$Z$39="Alta",'Mapa de Riesgos'!$AB$39="Mayor"),CONCATENATE("R3C",'Mapa de Riesgos'!$P$39),"")</f>
        <v/>
      </c>
      <c r="AG18" s="12" t="str">
        <f>IF(AND('Mapa de Riesgos'!$Z$40="Alta",'Mapa de Riesgos'!$AB$40="Mayor"),CONCATENATE("R3C",'Mapa de Riesgos'!$P$40),"")</f>
        <v/>
      </c>
      <c r="AH18" s="13" t="str">
        <f>IF(AND('Mapa de Riesgos'!$Z$35="Alta",'Mapa de Riesgos'!$AB$35="Catastrófico"),CONCATENATE("R3C",'Mapa de Riesgos'!$P$35),"")</f>
        <v/>
      </c>
      <c r="AI18" s="14" t="str">
        <f>IF(AND('Mapa de Riesgos'!$Z$36="Alta",'Mapa de Riesgos'!$AB$36="Catastrófico"),CONCATENATE("R3C",'Mapa de Riesgos'!$P$36),"")</f>
        <v/>
      </c>
      <c r="AJ18" s="14" t="str">
        <f>IF(AND('Mapa de Riesgos'!$Z$37="Alta",'Mapa de Riesgos'!$AB$37="Catastrófico"),CONCATENATE("R3C",'Mapa de Riesgos'!$P$37),"")</f>
        <v/>
      </c>
      <c r="AK18" s="14" t="str">
        <f>IF(AND('Mapa de Riesgos'!$Z$38="Alta",'Mapa de Riesgos'!$AB$38="Catastrófico"),CONCATENATE("R3C",'Mapa de Riesgos'!$P$38),"")</f>
        <v/>
      </c>
      <c r="AL18" s="14" t="str">
        <f>IF(AND('Mapa de Riesgos'!$Z$39="Alta",'Mapa de Riesgos'!$AB$39="Catastrófico"),CONCATENATE("R3C",'Mapa de Riesgos'!$P$39),"")</f>
        <v/>
      </c>
      <c r="AM18" s="15" t="str">
        <f>IF(AND('Mapa de Riesgos'!$Z$40="Alta",'Mapa de Riesgos'!$AB$40="Catastrófico"),CONCATENATE("R3C",'Mapa de Riesgos'!$P$40),"")</f>
        <v/>
      </c>
      <c r="AN18" s="41"/>
      <c r="AO18" s="429"/>
      <c r="AP18" s="430"/>
      <c r="AQ18" s="430"/>
      <c r="AR18" s="430"/>
      <c r="AS18" s="430"/>
      <c r="AT18" s="43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x14ac:dyDescent="0.25">
      <c r="A19" s="41"/>
      <c r="B19" s="340"/>
      <c r="C19" s="340"/>
      <c r="D19" s="341"/>
      <c r="E19" s="439"/>
      <c r="F19" s="438"/>
      <c r="G19" s="438"/>
      <c r="H19" s="438"/>
      <c r="I19" s="438"/>
      <c r="J19" s="25" t="str">
        <f>IF(AND('Mapa de Riesgos'!$Z$47="Alta",'Mapa de Riesgos'!$AB$47="Leve"),CONCATENATE("R4C",'Mapa de Riesgos'!$P$47),"")</f>
        <v/>
      </c>
      <c r="K19" s="26" t="str">
        <f>IF(AND('Mapa de Riesgos'!$Z$48="Alta",'Mapa de Riesgos'!$AB$48="Leve"),CONCATENATE("R4C",'Mapa de Riesgos'!$P$48),"")</f>
        <v/>
      </c>
      <c r="L19" s="26" t="str">
        <f>IF(AND('Mapa de Riesgos'!$Z$49="Alta",'Mapa de Riesgos'!$AB$49="Leve"),CONCATENATE("R4C",'Mapa de Riesgos'!$P$49),"")</f>
        <v/>
      </c>
      <c r="M19" s="26" t="str">
        <f>IF(AND('Mapa de Riesgos'!$Z$50="Alta",'Mapa de Riesgos'!$AB$50="Leve"),CONCATENATE("R4C",'Mapa de Riesgos'!$P$50),"")</f>
        <v/>
      </c>
      <c r="N19" s="26" t="str">
        <f>IF(AND('Mapa de Riesgos'!$Z$51="Alta",'Mapa de Riesgos'!$AB$51="Leve"),CONCATENATE("R4C",'Mapa de Riesgos'!$P$51),"")</f>
        <v/>
      </c>
      <c r="O19" s="27" t="str">
        <f>IF(AND('Mapa de Riesgos'!$Z$52="Alta",'Mapa de Riesgos'!$AB$52="Leve"),CONCATENATE("R4C",'Mapa de Riesgos'!$P$52),"")</f>
        <v/>
      </c>
      <c r="P19" s="25" t="str">
        <f>IF(AND('Mapa de Riesgos'!$Z$47="Alta",'Mapa de Riesgos'!$AB$47="Menor"),CONCATENATE("R4C",'Mapa de Riesgos'!$P$47),"")</f>
        <v/>
      </c>
      <c r="Q19" s="26" t="str">
        <f>IF(AND('Mapa de Riesgos'!$Z$48="Alta",'Mapa de Riesgos'!$AB$48="Menor"),CONCATENATE("R4C",'Mapa de Riesgos'!$P$48),"")</f>
        <v/>
      </c>
      <c r="R19" s="26" t="str">
        <f>IF(AND('Mapa de Riesgos'!$Z$49="Alta",'Mapa de Riesgos'!$AB$49="Menor"),CONCATENATE("R4C",'Mapa de Riesgos'!$P$49),"")</f>
        <v/>
      </c>
      <c r="S19" s="26" t="str">
        <f>IF(AND('Mapa de Riesgos'!$Z$50="Alta",'Mapa de Riesgos'!$AB$50="Menor"),CONCATENATE("R4C",'Mapa de Riesgos'!$P$50),"")</f>
        <v/>
      </c>
      <c r="T19" s="26" t="str">
        <f>IF(AND('Mapa de Riesgos'!$Z$51="Alta",'Mapa de Riesgos'!$AB$51="Menor"),CONCATENATE("R4C",'Mapa de Riesgos'!$P$51),"")</f>
        <v/>
      </c>
      <c r="U19" s="27" t="str">
        <f>IF(AND('Mapa de Riesgos'!$Z$52="Alta",'Mapa de Riesgos'!$AB$52="Menor"),CONCATENATE("R4C",'Mapa de Riesgos'!$P$52),"")</f>
        <v/>
      </c>
      <c r="V19" s="10" t="str">
        <f>IF(AND('Mapa de Riesgos'!$Z$47="Alta",'Mapa de Riesgos'!$AB$47="Moderado"),CONCATENATE("R4C",'Mapa de Riesgos'!$P$47),"")</f>
        <v/>
      </c>
      <c r="W19" s="11" t="str">
        <f>IF(AND('Mapa de Riesgos'!$Z$48="Alta",'Mapa de Riesgos'!$AB$48="Moderado"),CONCATENATE("R4C",'Mapa de Riesgos'!$P$48),"")</f>
        <v/>
      </c>
      <c r="X19" s="11" t="str">
        <f>IF(AND('Mapa de Riesgos'!$Z$49="Alta",'Mapa de Riesgos'!$AB$49="Moderado"),CONCATENATE("R4C",'Mapa de Riesgos'!$P$49),"")</f>
        <v/>
      </c>
      <c r="Y19" s="11" t="str">
        <f>IF(AND('Mapa de Riesgos'!$Z$50="Alta",'Mapa de Riesgos'!$AB$50="Moderado"),CONCATENATE("R4C",'Mapa de Riesgos'!$P$50),"")</f>
        <v/>
      </c>
      <c r="Z19" s="11" t="str">
        <f>IF(AND('Mapa de Riesgos'!$Z$51="Alta",'Mapa de Riesgos'!$AB$51="Moderado"),CONCATENATE("R4C",'Mapa de Riesgos'!$P$51),"")</f>
        <v/>
      </c>
      <c r="AA19" s="12" t="str">
        <f>IF(AND('Mapa de Riesgos'!$Z$52="Alta",'Mapa de Riesgos'!$AB$52="Moderado"),CONCATENATE("R4C",'Mapa de Riesgos'!$P$52),"")</f>
        <v/>
      </c>
      <c r="AB19" s="10" t="str">
        <f>IF(AND('Mapa de Riesgos'!$Z$47="Alta",'Mapa de Riesgos'!$AB$47="Mayor"),CONCATENATE("R4C",'Mapa de Riesgos'!$P$47),"")</f>
        <v/>
      </c>
      <c r="AC19" s="11" t="str">
        <f>IF(AND('Mapa de Riesgos'!$Z$48="Alta",'Mapa de Riesgos'!$AB$48="Mayor"),CONCATENATE("R4C",'Mapa de Riesgos'!$P$48),"")</f>
        <v/>
      </c>
      <c r="AD19" s="11" t="str">
        <f>IF(AND('Mapa de Riesgos'!$Z$49="Alta",'Mapa de Riesgos'!$AB$49="Mayor"),CONCATENATE("R4C",'Mapa de Riesgos'!$P$49),"")</f>
        <v/>
      </c>
      <c r="AE19" s="11" t="str">
        <f>IF(AND('Mapa de Riesgos'!$Z$50="Alta",'Mapa de Riesgos'!$AB$50="Mayor"),CONCATENATE("R4C",'Mapa de Riesgos'!$P$50),"")</f>
        <v/>
      </c>
      <c r="AF19" s="11" t="str">
        <f>IF(AND('Mapa de Riesgos'!$Z$51="Alta",'Mapa de Riesgos'!$AB$51="Mayor"),CONCATENATE("R4C",'Mapa de Riesgos'!$P$51),"")</f>
        <v/>
      </c>
      <c r="AG19" s="12" t="str">
        <f>IF(AND('Mapa de Riesgos'!$Z$52="Alta",'Mapa de Riesgos'!$AB$52="Mayor"),CONCATENATE("R4C",'Mapa de Riesgos'!$P$52),"")</f>
        <v/>
      </c>
      <c r="AH19" s="13" t="str">
        <f>IF(AND('Mapa de Riesgos'!$Z$47="Alta",'Mapa de Riesgos'!$AB$47="Catastrófico"),CONCATENATE("R4C",'Mapa de Riesgos'!$P$47),"")</f>
        <v/>
      </c>
      <c r="AI19" s="14" t="str">
        <f>IF(AND('Mapa de Riesgos'!$Z$48="Alta",'Mapa de Riesgos'!$AB$48="Catastrófico"),CONCATENATE("R4C",'Mapa de Riesgos'!$P$48),"")</f>
        <v/>
      </c>
      <c r="AJ19" s="14" t="str">
        <f>IF(AND('Mapa de Riesgos'!$Z$49="Alta",'Mapa de Riesgos'!$AB$49="Catastrófico"),CONCATENATE("R4C",'Mapa de Riesgos'!$P$49),"")</f>
        <v/>
      </c>
      <c r="AK19" s="14" t="str">
        <f>IF(AND('Mapa de Riesgos'!$Z$50="Alta",'Mapa de Riesgos'!$AB$50="Catastrófico"),CONCATENATE("R4C",'Mapa de Riesgos'!$P$50),"")</f>
        <v/>
      </c>
      <c r="AL19" s="14" t="str">
        <f>IF(AND('Mapa de Riesgos'!$Z$51="Alta",'Mapa de Riesgos'!$AB$51="Catastrófico"),CONCATENATE("R4C",'Mapa de Riesgos'!$P$51),"")</f>
        <v/>
      </c>
      <c r="AM19" s="15" t="str">
        <f>IF(AND('Mapa de Riesgos'!$Z$52="Alta",'Mapa de Riesgos'!$AB$52="Catastrófico"),CONCATENATE("R4C",'Mapa de Riesgos'!$P$52),"")</f>
        <v/>
      </c>
      <c r="AN19" s="41"/>
      <c r="AO19" s="429"/>
      <c r="AP19" s="430"/>
      <c r="AQ19" s="430"/>
      <c r="AR19" s="430"/>
      <c r="AS19" s="430"/>
      <c r="AT19" s="43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x14ac:dyDescent="0.25">
      <c r="A20" s="41"/>
      <c r="B20" s="340"/>
      <c r="C20" s="340"/>
      <c r="D20" s="341"/>
      <c r="E20" s="439"/>
      <c r="F20" s="438"/>
      <c r="G20" s="438"/>
      <c r="H20" s="438"/>
      <c r="I20" s="438"/>
      <c r="J20" s="25" t="e">
        <f>IF(AND('Mapa de Riesgos'!#REF!="Alta",'Mapa de Riesgos'!#REF!="Leve"),CONCATENATE("R5C",'Mapa de Riesgos'!#REF!),"")</f>
        <v>#REF!</v>
      </c>
      <c r="K20" s="26" t="e">
        <f>IF(AND('Mapa de Riesgos'!#REF!="Alta",'Mapa de Riesgos'!#REF!="Leve"),CONCATENATE("R5C",'Mapa de Riesgos'!#REF!),"")</f>
        <v>#REF!</v>
      </c>
      <c r="L20" s="26" t="e">
        <f>IF(AND('Mapa de Riesgos'!#REF!="Alta",'Mapa de Riesgos'!#REF!="Leve"),CONCATENATE("R5C",'Mapa de Riesgos'!#REF!),"")</f>
        <v>#REF!</v>
      </c>
      <c r="M20" s="26" t="e">
        <f>IF(AND('Mapa de Riesgos'!#REF!="Alta",'Mapa de Riesgos'!#REF!="Leve"),CONCATENATE("R5C",'Mapa de Riesgos'!#REF!),"")</f>
        <v>#REF!</v>
      </c>
      <c r="N20" s="26" t="e">
        <f>IF(AND('Mapa de Riesgos'!#REF!="Alta",'Mapa de Riesgos'!#REF!="Leve"),CONCATENATE("R5C",'Mapa de Riesgos'!#REF!),"")</f>
        <v>#REF!</v>
      </c>
      <c r="O20" s="27" t="e">
        <f>IF(AND('Mapa de Riesgos'!#REF!="Alta",'Mapa de Riesgos'!#REF!="Leve"),CONCATENATE("R5C",'Mapa de Riesgos'!#REF!),"")</f>
        <v>#REF!</v>
      </c>
      <c r="P20" s="25" t="e">
        <f>IF(AND('Mapa de Riesgos'!#REF!="Alta",'Mapa de Riesgos'!#REF!="Menor"),CONCATENATE("R5C",'Mapa de Riesgos'!#REF!),"")</f>
        <v>#REF!</v>
      </c>
      <c r="Q20" s="26" t="e">
        <f>IF(AND('Mapa de Riesgos'!#REF!="Alta",'Mapa de Riesgos'!#REF!="Menor"),CONCATENATE("R5C",'Mapa de Riesgos'!#REF!),"")</f>
        <v>#REF!</v>
      </c>
      <c r="R20" s="26" t="e">
        <f>IF(AND('Mapa de Riesgos'!#REF!="Alta",'Mapa de Riesgos'!#REF!="Menor"),CONCATENATE("R5C",'Mapa de Riesgos'!#REF!),"")</f>
        <v>#REF!</v>
      </c>
      <c r="S20" s="26" t="e">
        <f>IF(AND('Mapa de Riesgos'!#REF!="Alta",'Mapa de Riesgos'!#REF!="Menor"),CONCATENATE("R5C",'Mapa de Riesgos'!#REF!),"")</f>
        <v>#REF!</v>
      </c>
      <c r="T20" s="26" t="e">
        <f>IF(AND('Mapa de Riesgos'!#REF!="Alta",'Mapa de Riesgos'!#REF!="Menor"),CONCATENATE("R5C",'Mapa de Riesgos'!#REF!),"")</f>
        <v>#REF!</v>
      </c>
      <c r="U20" s="27" t="e">
        <f>IF(AND('Mapa de Riesgos'!#REF!="Alta",'Mapa de Riesgos'!#REF!="Menor"),CONCATENATE("R5C",'Mapa de Riesgos'!#REF!),"")</f>
        <v>#REF!</v>
      </c>
      <c r="V20" s="10" t="e">
        <f>IF(AND('Mapa de Riesgos'!#REF!="Alta",'Mapa de Riesgos'!#REF!="Moderado"),CONCATENATE("R5C",'Mapa de Riesgos'!#REF!),"")</f>
        <v>#REF!</v>
      </c>
      <c r="W20" s="11" t="e">
        <f>IF(AND('Mapa de Riesgos'!#REF!="Alta",'Mapa de Riesgos'!#REF!="Moderado"),CONCATENATE("R5C",'Mapa de Riesgos'!#REF!),"")</f>
        <v>#REF!</v>
      </c>
      <c r="X20" s="11" t="e">
        <f>IF(AND('Mapa de Riesgos'!#REF!="Alta",'Mapa de Riesgos'!#REF!="Moderado"),CONCATENATE("R5C",'Mapa de Riesgos'!#REF!),"")</f>
        <v>#REF!</v>
      </c>
      <c r="Y20" s="11" t="e">
        <f>IF(AND('Mapa de Riesgos'!#REF!="Alta",'Mapa de Riesgos'!#REF!="Moderado"),CONCATENATE("R5C",'Mapa de Riesgos'!#REF!),"")</f>
        <v>#REF!</v>
      </c>
      <c r="Z20" s="11" t="e">
        <f>IF(AND('Mapa de Riesgos'!#REF!="Alta",'Mapa de Riesgos'!#REF!="Moderado"),CONCATENATE("R5C",'Mapa de Riesgos'!#REF!),"")</f>
        <v>#REF!</v>
      </c>
      <c r="AA20" s="12" t="e">
        <f>IF(AND('Mapa de Riesgos'!#REF!="Alta",'Mapa de Riesgos'!#REF!="Moderado"),CONCATENATE("R5C",'Mapa de Riesgos'!#REF!),"")</f>
        <v>#REF!</v>
      </c>
      <c r="AB20" s="10" t="e">
        <f>IF(AND('Mapa de Riesgos'!#REF!="Alta",'Mapa de Riesgos'!#REF!="Mayor"),CONCATENATE("R5C",'Mapa de Riesgos'!#REF!),"")</f>
        <v>#REF!</v>
      </c>
      <c r="AC20" s="11" t="e">
        <f>IF(AND('Mapa de Riesgos'!#REF!="Alta",'Mapa de Riesgos'!#REF!="Mayor"),CONCATENATE("R5C",'Mapa de Riesgos'!#REF!),"")</f>
        <v>#REF!</v>
      </c>
      <c r="AD20" s="11" t="e">
        <f>IF(AND('Mapa de Riesgos'!#REF!="Alta",'Mapa de Riesgos'!#REF!="Mayor"),CONCATENATE("R5C",'Mapa de Riesgos'!#REF!),"")</f>
        <v>#REF!</v>
      </c>
      <c r="AE20" s="11" t="e">
        <f>IF(AND('Mapa de Riesgos'!#REF!="Alta",'Mapa de Riesgos'!#REF!="Mayor"),CONCATENATE("R5C",'Mapa de Riesgos'!#REF!),"")</f>
        <v>#REF!</v>
      </c>
      <c r="AF20" s="11" t="e">
        <f>IF(AND('Mapa de Riesgos'!#REF!="Alta",'Mapa de Riesgos'!#REF!="Mayor"),CONCATENATE("R5C",'Mapa de Riesgos'!#REF!),"")</f>
        <v>#REF!</v>
      </c>
      <c r="AG20" s="12" t="e">
        <f>IF(AND('Mapa de Riesgos'!#REF!="Alta",'Mapa de Riesgos'!#REF!="Mayor"),CONCATENATE("R5C",'Mapa de Riesgos'!#REF!),"")</f>
        <v>#REF!</v>
      </c>
      <c r="AH20" s="13" t="e">
        <f>IF(AND('Mapa de Riesgos'!#REF!="Alta",'Mapa de Riesgos'!#REF!="Catastrófico"),CONCATENATE("R5C",'Mapa de Riesgos'!#REF!),"")</f>
        <v>#REF!</v>
      </c>
      <c r="AI20" s="14" t="e">
        <f>IF(AND('Mapa de Riesgos'!#REF!="Alta",'Mapa de Riesgos'!#REF!="Catastrófico"),CONCATENATE("R5C",'Mapa de Riesgos'!#REF!),"")</f>
        <v>#REF!</v>
      </c>
      <c r="AJ20" s="14" t="e">
        <f>IF(AND('Mapa de Riesgos'!#REF!="Alta",'Mapa de Riesgos'!#REF!="Catastrófico"),CONCATENATE("R5C",'Mapa de Riesgos'!#REF!),"")</f>
        <v>#REF!</v>
      </c>
      <c r="AK20" s="14" t="e">
        <f>IF(AND('Mapa de Riesgos'!#REF!="Alta",'Mapa de Riesgos'!#REF!="Catastrófico"),CONCATENATE("R5C",'Mapa de Riesgos'!#REF!),"")</f>
        <v>#REF!</v>
      </c>
      <c r="AL20" s="14" t="e">
        <f>IF(AND('Mapa de Riesgos'!#REF!="Alta",'Mapa de Riesgos'!#REF!="Catastrófico"),CONCATENATE("R5C",'Mapa de Riesgos'!#REF!),"")</f>
        <v>#REF!</v>
      </c>
      <c r="AM20" s="15" t="e">
        <f>IF(AND('Mapa de Riesgos'!#REF!="Alta",'Mapa de Riesgos'!#REF!="Catastrófico"),CONCATENATE("R5C",'Mapa de Riesgos'!#REF!),"")</f>
        <v>#REF!</v>
      </c>
      <c r="AN20" s="41"/>
      <c r="AO20" s="429"/>
      <c r="AP20" s="430"/>
      <c r="AQ20" s="430"/>
      <c r="AR20" s="430"/>
      <c r="AS20" s="430"/>
      <c r="AT20" s="43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x14ac:dyDescent="0.25">
      <c r="A21" s="41"/>
      <c r="B21" s="340"/>
      <c r="C21" s="340"/>
      <c r="D21" s="341"/>
      <c r="E21" s="439"/>
      <c r="F21" s="438"/>
      <c r="G21" s="438"/>
      <c r="H21" s="438"/>
      <c r="I21" s="438"/>
      <c r="J21" s="25" t="str">
        <f>IF(AND('Mapa de Riesgos'!$Z$53="Alta",'Mapa de Riesgos'!$AB$53="Leve"),CONCATENATE("R6C",'Mapa de Riesgos'!$P$53),"")</f>
        <v/>
      </c>
      <c r="K21" s="26" t="str">
        <f>IF(AND('Mapa de Riesgos'!$Z$54="Alta",'Mapa de Riesgos'!$AB$54="Leve"),CONCATENATE("R6C",'Mapa de Riesgos'!$P$54),"")</f>
        <v/>
      </c>
      <c r="L21" s="26" t="str">
        <f>IF(AND('Mapa de Riesgos'!$Z$55="Alta",'Mapa de Riesgos'!$AB$55="Leve"),CONCATENATE("R6C",'Mapa de Riesgos'!$P$55),"")</f>
        <v/>
      </c>
      <c r="M21" s="26" t="str">
        <f>IF(AND('Mapa de Riesgos'!$Z$56="Alta",'Mapa de Riesgos'!$AB$56="Leve"),CONCATENATE("R6C",'Mapa de Riesgos'!$P$56),"")</f>
        <v/>
      </c>
      <c r="N21" s="26" t="str">
        <f>IF(AND('Mapa de Riesgos'!$Z$57="Alta",'Mapa de Riesgos'!$AB$57="Leve"),CONCATENATE("R6C",'Mapa de Riesgos'!$P$57),"")</f>
        <v/>
      </c>
      <c r="O21" s="27" t="str">
        <f>IF(AND('Mapa de Riesgos'!$Z$58="Alta",'Mapa de Riesgos'!$AB$58="Leve"),CONCATENATE("R6C",'Mapa de Riesgos'!$P$58),"")</f>
        <v/>
      </c>
      <c r="P21" s="25" t="str">
        <f>IF(AND('Mapa de Riesgos'!$Z$53="Alta",'Mapa de Riesgos'!$AB$53="Menor"),CONCATENATE("R6C",'Mapa de Riesgos'!$P$53),"")</f>
        <v/>
      </c>
      <c r="Q21" s="26" t="str">
        <f>IF(AND('Mapa de Riesgos'!$Z$54="Alta",'Mapa de Riesgos'!$AB$54="Menor"),CONCATENATE("R6C",'Mapa de Riesgos'!$P$54),"")</f>
        <v/>
      </c>
      <c r="R21" s="26" t="str">
        <f>IF(AND('Mapa de Riesgos'!$Z$55="Alta",'Mapa de Riesgos'!$AB$55="Menor"),CONCATENATE("R6C",'Mapa de Riesgos'!$P$55),"")</f>
        <v/>
      </c>
      <c r="S21" s="26" t="str">
        <f>IF(AND('Mapa de Riesgos'!$Z$56="Alta",'Mapa de Riesgos'!$AB$56="Menor"),CONCATENATE("R6C",'Mapa de Riesgos'!$P$56),"")</f>
        <v/>
      </c>
      <c r="T21" s="26" t="str">
        <f>IF(AND('Mapa de Riesgos'!$Z$57="Alta",'Mapa de Riesgos'!$AB$57="Menor"),CONCATENATE("R6C",'Mapa de Riesgos'!$P$57),"")</f>
        <v/>
      </c>
      <c r="U21" s="27" t="str">
        <f>IF(AND('Mapa de Riesgos'!$Z$58="Alta",'Mapa de Riesgos'!$AB$58="Menor"),CONCATENATE("R6C",'Mapa de Riesgos'!$P$58),"")</f>
        <v/>
      </c>
      <c r="V21" s="10" t="str">
        <f>IF(AND('Mapa de Riesgos'!$Z$53="Alta",'Mapa de Riesgos'!$AB$53="Moderado"),CONCATENATE("R6C",'Mapa de Riesgos'!$P$53),"")</f>
        <v/>
      </c>
      <c r="W21" s="11" t="str">
        <f>IF(AND('Mapa de Riesgos'!$Z$54="Alta",'Mapa de Riesgos'!$AB$54="Moderado"),CONCATENATE("R6C",'Mapa de Riesgos'!$P$54),"")</f>
        <v/>
      </c>
      <c r="X21" s="11" t="str">
        <f>IF(AND('Mapa de Riesgos'!$Z$55="Alta",'Mapa de Riesgos'!$AB$55="Moderado"),CONCATENATE("R6C",'Mapa de Riesgos'!$P$55),"")</f>
        <v/>
      </c>
      <c r="Y21" s="11" t="str">
        <f>IF(AND('Mapa de Riesgos'!$Z$56="Alta",'Mapa de Riesgos'!$AB$56="Moderado"),CONCATENATE("R6C",'Mapa de Riesgos'!$P$56),"")</f>
        <v/>
      </c>
      <c r="Z21" s="11" t="str">
        <f>IF(AND('Mapa de Riesgos'!$Z$57="Alta",'Mapa de Riesgos'!$AB$57="Moderado"),CONCATENATE("R6C",'Mapa de Riesgos'!$P$57),"")</f>
        <v/>
      </c>
      <c r="AA21" s="12" t="str">
        <f>IF(AND('Mapa de Riesgos'!$Z$58="Alta",'Mapa de Riesgos'!$AB$58="Moderado"),CONCATENATE("R6C",'Mapa de Riesgos'!$P$58),"")</f>
        <v/>
      </c>
      <c r="AB21" s="10" t="str">
        <f>IF(AND('Mapa de Riesgos'!$Z$53="Alta",'Mapa de Riesgos'!$AB$53="Mayor"),CONCATENATE("R6C",'Mapa de Riesgos'!$P$53),"")</f>
        <v/>
      </c>
      <c r="AC21" s="11" t="str">
        <f>IF(AND('Mapa de Riesgos'!$Z$54="Alta",'Mapa de Riesgos'!$AB$54="Mayor"),CONCATENATE("R6C",'Mapa de Riesgos'!$P$54),"")</f>
        <v/>
      </c>
      <c r="AD21" s="11" t="str">
        <f>IF(AND('Mapa de Riesgos'!$Z$55="Alta",'Mapa de Riesgos'!$AB$55="Mayor"),CONCATENATE("R6C",'Mapa de Riesgos'!$P$55),"")</f>
        <v/>
      </c>
      <c r="AE21" s="11" t="str">
        <f>IF(AND('Mapa de Riesgos'!$Z$56="Alta",'Mapa de Riesgos'!$AB$56="Mayor"),CONCATENATE("R6C",'Mapa de Riesgos'!$P$56),"")</f>
        <v/>
      </c>
      <c r="AF21" s="11" t="str">
        <f>IF(AND('Mapa de Riesgos'!$Z$57="Alta",'Mapa de Riesgos'!$AB$57="Mayor"),CONCATENATE("R6C",'Mapa de Riesgos'!$P$57),"")</f>
        <v/>
      </c>
      <c r="AG21" s="12" t="str">
        <f>IF(AND('Mapa de Riesgos'!$Z$58="Alta",'Mapa de Riesgos'!$AB$58="Mayor"),CONCATENATE("R6C",'Mapa de Riesgos'!$P$58),"")</f>
        <v/>
      </c>
      <c r="AH21" s="13" t="str">
        <f>IF(AND('Mapa de Riesgos'!$Z$53="Alta",'Mapa de Riesgos'!$AB$53="Catastrófico"),CONCATENATE("R6C",'Mapa de Riesgos'!$P$53),"")</f>
        <v/>
      </c>
      <c r="AI21" s="14" t="str">
        <f>IF(AND('Mapa de Riesgos'!$Z$54="Alta",'Mapa de Riesgos'!$AB$54="Catastrófico"),CONCATENATE("R6C",'Mapa de Riesgos'!$P$54),"")</f>
        <v/>
      </c>
      <c r="AJ21" s="14" t="str">
        <f>IF(AND('Mapa de Riesgos'!$Z$55="Alta",'Mapa de Riesgos'!$AB$55="Catastrófico"),CONCATENATE("R6C",'Mapa de Riesgos'!$P$55),"")</f>
        <v/>
      </c>
      <c r="AK21" s="14" t="str">
        <f>IF(AND('Mapa de Riesgos'!$Z$56="Alta",'Mapa de Riesgos'!$AB$56="Catastrófico"),CONCATENATE("R6C",'Mapa de Riesgos'!$P$56),"")</f>
        <v/>
      </c>
      <c r="AL21" s="14" t="str">
        <f>IF(AND('Mapa de Riesgos'!$Z$57="Alta",'Mapa de Riesgos'!$AB$57="Catastrófico"),CONCATENATE("R6C",'Mapa de Riesgos'!$P$57),"")</f>
        <v/>
      </c>
      <c r="AM21" s="15" t="str">
        <f>IF(AND('Mapa de Riesgos'!$Z$58="Alta",'Mapa de Riesgos'!$AB$58="Catastrófico"),CONCATENATE("R6C",'Mapa de Riesgos'!$P$58),"")</f>
        <v/>
      </c>
      <c r="AN21" s="41"/>
      <c r="AO21" s="429"/>
      <c r="AP21" s="430"/>
      <c r="AQ21" s="430"/>
      <c r="AR21" s="430"/>
      <c r="AS21" s="430"/>
      <c r="AT21" s="43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x14ac:dyDescent="0.25">
      <c r="A22" s="41"/>
      <c r="B22" s="340"/>
      <c r="C22" s="340"/>
      <c r="D22" s="341"/>
      <c r="E22" s="439"/>
      <c r="F22" s="438"/>
      <c r="G22" s="438"/>
      <c r="H22" s="438"/>
      <c r="I22" s="438"/>
      <c r="J22" s="25" t="str">
        <f>IF(AND('Mapa de Riesgos'!$Z$23="Alta",'Mapa de Riesgos'!$AB$23="Leve"),CONCATENATE("R7C",'Mapa de Riesgos'!$P$23),"")</f>
        <v/>
      </c>
      <c r="K22" s="26" t="str">
        <f>IF(AND('Mapa de Riesgos'!$Z$24="Alta",'Mapa de Riesgos'!$AB$24="Leve"),CONCATENATE("R7C",'Mapa de Riesgos'!$P$24),"")</f>
        <v/>
      </c>
      <c r="L22" s="26" t="str">
        <f>IF(AND('Mapa de Riesgos'!$Z$25="Alta",'Mapa de Riesgos'!$AB$25="Leve"),CONCATENATE("R7C",'Mapa de Riesgos'!$P$25),"")</f>
        <v/>
      </c>
      <c r="M22" s="26" t="str">
        <f>IF(AND('Mapa de Riesgos'!$Z$26="Alta",'Mapa de Riesgos'!$AB$26="Leve"),CONCATENATE("R7C",'Mapa de Riesgos'!$P$26),"")</f>
        <v/>
      </c>
      <c r="N22" s="26" t="str">
        <f>IF(AND('Mapa de Riesgos'!$Z$27="Alta",'Mapa de Riesgos'!$AB$27="Leve"),CONCATENATE("R7C",'Mapa de Riesgos'!$P$27),"")</f>
        <v/>
      </c>
      <c r="O22" s="27" t="str">
        <f>IF(AND('Mapa de Riesgos'!$Z$28="Alta",'Mapa de Riesgos'!$AB$28="Leve"),CONCATENATE("R7C",'Mapa de Riesgos'!$P$28),"")</f>
        <v/>
      </c>
      <c r="P22" s="25" t="str">
        <f>IF(AND('Mapa de Riesgos'!$Z$23="Alta",'Mapa de Riesgos'!$AB$23="Menor"),CONCATENATE("R7C",'Mapa de Riesgos'!$P$23),"")</f>
        <v/>
      </c>
      <c r="Q22" s="26" t="str">
        <f>IF(AND('Mapa de Riesgos'!$Z$24="Alta",'Mapa de Riesgos'!$AB$24="Menor"),CONCATENATE("R7C",'Mapa de Riesgos'!$P$24),"")</f>
        <v/>
      </c>
      <c r="R22" s="26" t="str">
        <f>IF(AND('Mapa de Riesgos'!$Z$25="Alta",'Mapa de Riesgos'!$AB$25="Menor"),CONCATENATE("R7C",'Mapa de Riesgos'!$P$25),"")</f>
        <v/>
      </c>
      <c r="S22" s="26" t="str">
        <f>IF(AND('Mapa de Riesgos'!$Z$26="Alta",'Mapa de Riesgos'!$AB$26="Menor"),CONCATENATE("R7C",'Mapa de Riesgos'!$P$26),"")</f>
        <v/>
      </c>
      <c r="T22" s="26" t="str">
        <f>IF(AND('Mapa de Riesgos'!$Z$27="Alta",'Mapa de Riesgos'!$AB$27="Menor"),CONCATENATE("R7C",'Mapa de Riesgos'!$P$27),"")</f>
        <v/>
      </c>
      <c r="U22" s="27" t="str">
        <f>IF(AND('Mapa de Riesgos'!$Z$28="Alta",'Mapa de Riesgos'!$AB$28="Menor"),CONCATENATE("R7C",'Mapa de Riesgos'!$P$28),"")</f>
        <v/>
      </c>
      <c r="V22" s="10" t="str">
        <f>IF(AND('Mapa de Riesgos'!$Z$23="Alta",'Mapa de Riesgos'!$AB$23="Moderado"),CONCATENATE("R7C",'Mapa de Riesgos'!$P$23),"")</f>
        <v/>
      </c>
      <c r="W22" s="11" t="str">
        <f>IF(AND('Mapa de Riesgos'!$Z$24="Alta",'Mapa de Riesgos'!$AB$24="Moderado"),CONCATENATE("R7C",'Mapa de Riesgos'!$P$24),"")</f>
        <v/>
      </c>
      <c r="X22" s="11" t="str">
        <f>IF(AND('Mapa de Riesgos'!$Z$25="Alta",'Mapa de Riesgos'!$AB$25="Moderado"),CONCATENATE("R7C",'Mapa de Riesgos'!$P$25),"")</f>
        <v/>
      </c>
      <c r="Y22" s="11" t="str">
        <f>IF(AND('Mapa de Riesgos'!$Z$26="Alta",'Mapa de Riesgos'!$AB$26="Moderado"),CONCATENATE("R7C",'Mapa de Riesgos'!$P$26),"")</f>
        <v/>
      </c>
      <c r="Z22" s="11" t="str">
        <f>IF(AND('Mapa de Riesgos'!$Z$27="Alta",'Mapa de Riesgos'!$AB$27="Moderado"),CONCATENATE("R7C",'Mapa de Riesgos'!$P$27),"")</f>
        <v/>
      </c>
      <c r="AA22" s="12" t="str">
        <f>IF(AND('Mapa de Riesgos'!$Z$28="Alta",'Mapa de Riesgos'!$AB$28="Moderado"),CONCATENATE("R7C",'Mapa de Riesgos'!$P$28),"")</f>
        <v/>
      </c>
      <c r="AB22" s="10" t="str">
        <f>IF(AND('Mapa de Riesgos'!$Z$23="Alta",'Mapa de Riesgos'!$AB$23="Mayor"),CONCATENATE("R7C",'Mapa de Riesgos'!$P$23),"")</f>
        <v/>
      </c>
      <c r="AC22" s="11" t="str">
        <f>IF(AND('Mapa de Riesgos'!$Z$24="Alta",'Mapa de Riesgos'!$AB$24="Mayor"),CONCATENATE("R7C",'Mapa de Riesgos'!$P$24),"")</f>
        <v/>
      </c>
      <c r="AD22" s="11" t="str">
        <f>IF(AND('Mapa de Riesgos'!$Z$25="Alta",'Mapa de Riesgos'!$AB$25="Mayor"),CONCATENATE("R7C",'Mapa de Riesgos'!$P$25),"")</f>
        <v/>
      </c>
      <c r="AE22" s="11" t="str">
        <f>IF(AND('Mapa de Riesgos'!$Z$26="Alta",'Mapa de Riesgos'!$AB$26="Mayor"),CONCATENATE("R7C",'Mapa de Riesgos'!$P$26),"")</f>
        <v/>
      </c>
      <c r="AF22" s="11" t="str">
        <f>IF(AND('Mapa de Riesgos'!$Z$27="Alta",'Mapa de Riesgos'!$AB$27="Mayor"),CONCATENATE("R7C",'Mapa de Riesgos'!$P$27),"")</f>
        <v/>
      </c>
      <c r="AG22" s="12" t="str">
        <f>IF(AND('Mapa de Riesgos'!$Z$28="Alta",'Mapa de Riesgos'!$AB$28="Mayor"),CONCATENATE("R7C",'Mapa de Riesgos'!$P$28),"")</f>
        <v/>
      </c>
      <c r="AH22" s="13" t="str">
        <f>IF(AND('Mapa de Riesgos'!$Z$23="Alta",'Mapa de Riesgos'!$AB$23="Catastrófico"),CONCATENATE("R7C",'Mapa de Riesgos'!$P$23),"")</f>
        <v/>
      </c>
      <c r="AI22" s="14" t="str">
        <f>IF(AND('Mapa de Riesgos'!$Z$24="Alta",'Mapa de Riesgos'!$AB$24="Catastrófico"),CONCATENATE("R7C",'Mapa de Riesgos'!$P$24),"")</f>
        <v/>
      </c>
      <c r="AJ22" s="14" t="str">
        <f>IF(AND('Mapa de Riesgos'!$Z$25="Alta",'Mapa de Riesgos'!$AB$25="Catastrófico"),CONCATENATE("R7C",'Mapa de Riesgos'!$P$25),"")</f>
        <v/>
      </c>
      <c r="AK22" s="14" t="str">
        <f>IF(AND('Mapa de Riesgos'!$Z$26="Alta",'Mapa de Riesgos'!$AB$26="Catastrófico"),CONCATENATE("R7C",'Mapa de Riesgos'!$P$26),"")</f>
        <v/>
      </c>
      <c r="AL22" s="14" t="str">
        <f>IF(AND('Mapa de Riesgos'!$Z$27="Alta",'Mapa de Riesgos'!$AB$27="Catastrófico"),CONCATENATE("R7C",'Mapa de Riesgos'!$P$27),"")</f>
        <v/>
      </c>
      <c r="AM22" s="15" t="str">
        <f>IF(AND('Mapa de Riesgos'!$Z$28="Alta",'Mapa de Riesgos'!$AB$28="Catastrófico"),CONCATENATE("R7C",'Mapa de Riesgos'!$P$28),"")</f>
        <v/>
      </c>
      <c r="AN22" s="41"/>
      <c r="AO22" s="429"/>
      <c r="AP22" s="430"/>
      <c r="AQ22" s="430"/>
      <c r="AR22" s="430"/>
      <c r="AS22" s="430"/>
      <c r="AT22" s="43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x14ac:dyDescent="0.25">
      <c r="A23" s="41"/>
      <c r="B23" s="340"/>
      <c r="C23" s="340"/>
      <c r="D23" s="341"/>
      <c r="E23" s="439"/>
      <c r="F23" s="438"/>
      <c r="G23" s="438"/>
      <c r="H23" s="438"/>
      <c r="I23" s="438"/>
      <c r="J23" s="25" t="str">
        <f>IF(AND('Mapa de Riesgos'!$Z$17="Alta",'Mapa de Riesgos'!$AB$17="Leve"),CONCATENATE("R8C",'Mapa de Riesgos'!$P$17),"")</f>
        <v/>
      </c>
      <c r="K23" s="26" t="str">
        <f>IF(AND('Mapa de Riesgos'!$Z$18="Alta",'Mapa de Riesgos'!$AB$18="Leve"),CONCATENATE("R8C",'Mapa de Riesgos'!$P$18),"")</f>
        <v/>
      </c>
      <c r="L23" s="26" t="str">
        <f>IF(AND('Mapa de Riesgos'!$Z$19="Alta",'Mapa de Riesgos'!$AB$19="Leve"),CONCATENATE("R8C",'Mapa de Riesgos'!$P$19),"")</f>
        <v/>
      </c>
      <c r="M23" s="26" t="str">
        <f>IF(AND('Mapa de Riesgos'!$Z$20="Alta",'Mapa de Riesgos'!$AB$20="Leve"),CONCATENATE("R8C",'Mapa de Riesgos'!$P$20),"")</f>
        <v/>
      </c>
      <c r="N23" s="26" t="str">
        <f>IF(AND('Mapa de Riesgos'!$Z$21="Alta",'Mapa de Riesgos'!$AB$21="Leve"),CONCATENATE("R8C",'Mapa de Riesgos'!$P$21),"")</f>
        <v/>
      </c>
      <c r="O23" s="27" t="str">
        <f>IF(AND('Mapa de Riesgos'!$Z$22="Alta",'Mapa de Riesgos'!$AB$22="Leve"),CONCATENATE("R8C",'Mapa de Riesgos'!$P$22),"")</f>
        <v/>
      </c>
      <c r="P23" s="25" t="str">
        <f>IF(AND('Mapa de Riesgos'!$Z$17="Alta",'Mapa de Riesgos'!$AB$17="Menor"),CONCATENATE("R8C",'Mapa de Riesgos'!$P$17),"")</f>
        <v/>
      </c>
      <c r="Q23" s="26" t="str">
        <f>IF(AND('Mapa de Riesgos'!$Z$18="Alta",'Mapa de Riesgos'!$AB$18="Menor"),CONCATENATE("R8C",'Mapa de Riesgos'!$P$18),"")</f>
        <v/>
      </c>
      <c r="R23" s="26" t="str">
        <f>IF(AND('Mapa de Riesgos'!$Z$19="Alta",'Mapa de Riesgos'!$AB$19="Menor"),CONCATENATE("R8C",'Mapa de Riesgos'!$P$19),"")</f>
        <v/>
      </c>
      <c r="S23" s="26" t="str">
        <f>IF(AND('Mapa de Riesgos'!$Z$20="Alta",'Mapa de Riesgos'!$AB$20="Menor"),CONCATENATE("R8C",'Mapa de Riesgos'!$P$20),"")</f>
        <v/>
      </c>
      <c r="T23" s="26" t="str">
        <f>IF(AND('Mapa de Riesgos'!$Z$21="Alta",'Mapa de Riesgos'!$AB$21="Menor"),CONCATENATE("R8C",'Mapa de Riesgos'!$P$21),"")</f>
        <v/>
      </c>
      <c r="U23" s="27" t="str">
        <f>IF(AND('Mapa de Riesgos'!$Z$22="Alta",'Mapa de Riesgos'!$AB$22="Menor"),CONCATENATE("R8C",'Mapa de Riesgos'!$P$22),"")</f>
        <v/>
      </c>
      <c r="V23" s="10" t="str">
        <f>IF(AND('Mapa de Riesgos'!$Z$17="Alta",'Mapa de Riesgos'!$AB$17="Moderado"),CONCATENATE("R8C",'Mapa de Riesgos'!$P$17),"")</f>
        <v/>
      </c>
      <c r="W23" s="11" t="str">
        <f>IF(AND('Mapa de Riesgos'!$Z$18="Alta",'Mapa de Riesgos'!$AB$18="Moderado"),CONCATENATE("R8C",'Mapa de Riesgos'!$P$18),"")</f>
        <v/>
      </c>
      <c r="X23" s="11" t="str">
        <f>IF(AND('Mapa de Riesgos'!$Z$19="Alta",'Mapa de Riesgos'!$AB$19="Moderado"),CONCATENATE("R8C",'Mapa de Riesgos'!$P$19),"")</f>
        <v/>
      </c>
      <c r="Y23" s="11" t="str">
        <f>IF(AND('Mapa de Riesgos'!$Z$20="Alta",'Mapa de Riesgos'!$AB$20="Moderado"),CONCATENATE("R8C",'Mapa de Riesgos'!$P$20),"")</f>
        <v/>
      </c>
      <c r="Z23" s="11" t="str">
        <f>IF(AND('Mapa de Riesgos'!$Z$21="Alta",'Mapa de Riesgos'!$AB$21="Moderado"),CONCATENATE("R8C",'Mapa de Riesgos'!$P$21),"")</f>
        <v/>
      </c>
      <c r="AA23" s="12" t="str">
        <f>IF(AND('Mapa de Riesgos'!$Z$22="Alta",'Mapa de Riesgos'!$AB$22="Moderado"),CONCATENATE("R8C",'Mapa de Riesgos'!$P$22),"")</f>
        <v/>
      </c>
      <c r="AB23" s="10" t="str">
        <f>IF(AND('Mapa de Riesgos'!$Z$17="Alta",'Mapa de Riesgos'!$AB$17="Mayor"),CONCATENATE("R8C",'Mapa de Riesgos'!$P$17),"")</f>
        <v/>
      </c>
      <c r="AC23" s="11" t="str">
        <f>IF(AND('Mapa de Riesgos'!$Z$18="Alta",'Mapa de Riesgos'!$AB$18="Mayor"),CONCATENATE("R8C",'Mapa de Riesgos'!$P$18),"")</f>
        <v/>
      </c>
      <c r="AD23" s="11" t="str">
        <f>IF(AND('Mapa de Riesgos'!$Z$19="Alta",'Mapa de Riesgos'!$AB$19="Mayor"),CONCATENATE("R8C",'Mapa de Riesgos'!$P$19),"")</f>
        <v/>
      </c>
      <c r="AE23" s="11" t="str">
        <f>IF(AND('Mapa de Riesgos'!$Z$20="Alta",'Mapa de Riesgos'!$AB$20="Mayor"),CONCATENATE("R8C",'Mapa de Riesgos'!$P$20),"")</f>
        <v/>
      </c>
      <c r="AF23" s="11" t="str">
        <f>IF(AND('Mapa de Riesgos'!$Z$21="Alta",'Mapa de Riesgos'!$AB$21="Mayor"),CONCATENATE("R8C",'Mapa de Riesgos'!$P$21),"")</f>
        <v/>
      </c>
      <c r="AG23" s="12" t="str">
        <f>IF(AND('Mapa de Riesgos'!$Z$22="Alta",'Mapa de Riesgos'!$AB$22="Mayor"),CONCATENATE("R8C",'Mapa de Riesgos'!$P$22),"")</f>
        <v/>
      </c>
      <c r="AH23" s="13" t="str">
        <f>IF(AND('Mapa de Riesgos'!$Z$17="Alta",'Mapa de Riesgos'!$AB$17="Catastrófico"),CONCATENATE("R8C",'Mapa de Riesgos'!$P$17),"")</f>
        <v/>
      </c>
      <c r="AI23" s="14" t="str">
        <f>IF(AND('Mapa de Riesgos'!$Z$18="Alta",'Mapa de Riesgos'!$AB$18="Catastrófico"),CONCATENATE("R8C",'Mapa de Riesgos'!$P$18),"")</f>
        <v/>
      </c>
      <c r="AJ23" s="14" t="str">
        <f>IF(AND('Mapa de Riesgos'!$Z$19="Alta",'Mapa de Riesgos'!$AB$19="Catastrófico"),CONCATENATE("R8C",'Mapa de Riesgos'!$P$19),"")</f>
        <v/>
      </c>
      <c r="AK23" s="14" t="str">
        <f>IF(AND('Mapa de Riesgos'!$Z$20="Alta",'Mapa de Riesgos'!$AB$20="Catastrófico"),CONCATENATE("R8C",'Mapa de Riesgos'!$P$20),"")</f>
        <v/>
      </c>
      <c r="AL23" s="14" t="str">
        <f>IF(AND('Mapa de Riesgos'!$Z$21="Alta",'Mapa de Riesgos'!$AB$21="Catastrófico"),CONCATENATE("R8C",'Mapa de Riesgos'!$P$21),"")</f>
        <v/>
      </c>
      <c r="AM23" s="15" t="str">
        <f>IF(AND('Mapa de Riesgos'!$Z$22="Alta",'Mapa de Riesgos'!$AB$22="Catastrófico"),CONCATENATE("R8C",'Mapa de Riesgos'!$P$22),"")</f>
        <v/>
      </c>
      <c r="AN23" s="41"/>
      <c r="AO23" s="429"/>
      <c r="AP23" s="430"/>
      <c r="AQ23" s="430"/>
      <c r="AR23" s="430"/>
      <c r="AS23" s="430"/>
      <c r="AT23" s="43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x14ac:dyDescent="0.25">
      <c r="A24" s="41"/>
      <c r="B24" s="340"/>
      <c r="C24" s="340"/>
      <c r="D24" s="341"/>
      <c r="E24" s="439"/>
      <c r="F24" s="438"/>
      <c r="G24" s="438"/>
      <c r="H24" s="438"/>
      <c r="I24" s="438"/>
      <c r="J24" s="25" t="str">
        <f>IF(AND('Mapa de Riesgos'!$Z$59="Alta",'Mapa de Riesgos'!$AB$59="Leve"),CONCATENATE("R9C",'Mapa de Riesgos'!$P$59),"")</f>
        <v/>
      </c>
      <c r="K24" s="26" t="str">
        <f>IF(AND('Mapa de Riesgos'!$Z$60="Alta",'Mapa de Riesgos'!$AB$60="Leve"),CONCATENATE("R9C",'Mapa de Riesgos'!$P$60),"")</f>
        <v/>
      </c>
      <c r="L24" s="26" t="str">
        <f>IF(AND('Mapa de Riesgos'!$Z$61="Alta",'Mapa de Riesgos'!$AB$61="Leve"),CONCATENATE("R9C",'Mapa de Riesgos'!$P$61),"")</f>
        <v/>
      </c>
      <c r="M24" s="26" t="str">
        <f>IF(AND('Mapa de Riesgos'!$Z$62="Alta",'Mapa de Riesgos'!$AB$62="Leve"),CONCATENATE("R9C",'Mapa de Riesgos'!$P$62),"")</f>
        <v/>
      </c>
      <c r="N24" s="26" t="str">
        <f>IF(AND('Mapa de Riesgos'!$Z$63="Alta",'Mapa de Riesgos'!$AB$63="Leve"),CONCATENATE("R9C",'Mapa de Riesgos'!$P$63),"")</f>
        <v/>
      </c>
      <c r="O24" s="27" t="str">
        <f>IF(AND('Mapa de Riesgos'!$Z$64="Alta",'Mapa de Riesgos'!$AB$64="Leve"),CONCATENATE("R9C",'Mapa de Riesgos'!$P$64),"")</f>
        <v/>
      </c>
      <c r="P24" s="25" t="str">
        <f>IF(AND('Mapa de Riesgos'!$Z$59="Alta",'Mapa de Riesgos'!$AB$59="Menor"),CONCATENATE("R9C",'Mapa de Riesgos'!$P$59),"")</f>
        <v/>
      </c>
      <c r="Q24" s="26" t="str">
        <f>IF(AND('Mapa de Riesgos'!$Z$60="Alta",'Mapa de Riesgos'!$AB$60="Menor"),CONCATENATE("R9C",'Mapa de Riesgos'!$P$60),"")</f>
        <v/>
      </c>
      <c r="R24" s="26" t="str">
        <f>IF(AND('Mapa de Riesgos'!$Z$61="Alta",'Mapa de Riesgos'!$AB$61="Menor"),CONCATENATE("R9C",'Mapa de Riesgos'!$P$61),"")</f>
        <v/>
      </c>
      <c r="S24" s="26" t="str">
        <f>IF(AND('Mapa de Riesgos'!$Z$62="Alta",'Mapa de Riesgos'!$AB$62="Menor"),CONCATENATE("R9C",'Mapa de Riesgos'!$P$62),"")</f>
        <v/>
      </c>
      <c r="T24" s="26" t="str">
        <f>IF(AND('Mapa de Riesgos'!$Z$63="Alta",'Mapa de Riesgos'!$AB$63="Menor"),CONCATENATE("R9C",'Mapa de Riesgos'!$P$63),"")</f>
        <v/>
      </c>
      <c r="U24" s="27" t="str">
        <f>IF(AND('Mapa de Riesgos'!$Z$64="Alta",'Mapa de Riesgos'!$AB$64="Menor"),CONCATENATE("R9C",'Mapa de Riesgos'!$P$64),"")</f>
        <v/>
      </c>
      <c r="V24" s="10" t="str">
        <f>IF(AND('Mapa de Riesgos'!$Z$59="Alta",'Mapa de Riesgos'!$AB$59="Moderado"),CONCATENATE("R9C",'Mapa de Riesgos'!$P$59),"")</f>
        <v/>
      </c>
      <c r="W24" s="11" t="str">
        <f>IF(AND('Mapa de Riesgos'!$Z$60="Alta",'Mapa de Riesgos'!$AB$60="Moderado"),CONCATENATE("R9C",'Mapa de Riesgos'!$P$60),"")</f>
        <v/>
      </c>
      <c r="X24" s="11" t="str">
        <f>IF(AND('Mapa de Riesgos'!$Z$61="Alta",'Mapa de Riesgos'!$AB$61="Moderado"),CONCATENATE("R9C",'Mapa de Riesgos'!$P$61),"")</f>
        <v/>
      </c>
      <c r="Y24" s="11" t="str">
        <f>IF(AND('Mapa de Riesgos'!$Z$62="Alta",'Mapa de Riesgos'!$AB$62="Moderado"),CONCATENATE("R9C",'Mapa de Riesgos'!$P$62),"")</f>
        <v/>
      </c>
      <c r="Z24" s="11" t="str">
        <f>IF(AND('Mapa de Riesgos'!$Z$63="Alta",'Mapa de Riesgos'!$AB$63="Moderado"),CONCATENATE("R9C",'Mapa de Riesgos'!$P$63),"")</f>
        <v/>
      </c>
      <c r="AA24" s="12" t="str">
        <f>IF(AND('Mapa de Riesgos'!$Z$64="Alta",'Mapa de Riesgos'!$AB$64="Moderado"),CONCATENATE("R9C",'Mapa de Riesgos'!$P$64),"")</f>
        <v/>
      </c>
      <c r="AB24" s="10" t="str">
        <f>IF(AND('Mapa de Riesgos'!$Z$59="Alta",'Mapa de Riesgos'!$AB$59="Mayor"),CONCATENATE("R9C",'Mapa de Riesgos'!$P$59),"")</f>
        <v/>
      </c>
      <c r="AC24" s="11" t="str">
        <f>IF(AND('Mapa de Riesgos'!$Z$60="Alta",'Mapa de Riesgos'!$AB$60="Mayor"),CONCATENATE("R9C",'Mapa de Riesgos'!$P$60),"")</f>
        <v/>
      </c>
      <c r="AD24" s="11" t="str">
        <f>IF(AND('Mapa de Riesgos'!$Z$61="Alta",'Mapa de Riesgos'!$AB$61="Mayor"),CONCATENATE("R9C",'Mapa de Riesgos'!$P$61),"")</f>
        <v/>
      </c>
      <c r="AE24" s="11" t="str">
        <f>IF(AND('Mapa de Riesgos'!$Z$62="Alta",'Mapa de Riesgos'!$AB$62="Mayor"),CONCATENATE("R9C",'Mapa de Riesgos'!$P$62),"")</f>
        <v/>
      </c>
      <c r="AF24" s="11" t="str">
        <f>IF(AND('Mapa de Riesgos'!$Z$63="Alta",'Mapa de Riesgos'!$AB$63="Mayor"),CONCATENATE("R9C",'Mapa de Riesgos'!$P$63),"")</f>
        <v/>
      </c>
      <c r="AG24" s="12" t="str">
        <f>IF(AND('Mapa de Riesgos'!$Z$64="Alta",'Mapa de Riesgos'!$AB$64="Mayor"),CONCATENATE("R9C",'Mapa de Riesgos'!$P$64),"")</f>
        <v/>
      </c>
      <c r="AH24" s="13" t="str">
        <f>IF(AND('Mapa de Riesgos'!$Z$59="Alta",'Mapa de Riesgos'!$AB$59="Catastrófico"),CONCATENATE("R9C",'Mapa de Riesgos'!$P$59),"")</f>
        <v/>
      </c>
      <c r="AI24" s="14" t="str">
        <f>IF(AND('Mapa de Riesgos'!$Z$60="Alta",'Mapa de Riesgos'!$AB$60="Catastrófico"),CONCATENATE("R9C",'Mapa de Riesgos'!$P$60),"")</f>
        <v/>
      </c>
      <c r="AJ24" s="14" t="str">
        <f>IF(AND('Mapa de Riesgos'!$Z$61="Alta",'Mapa de Riesgos'!$AB$61="Catastrófico"),CONCATENATE("R9C",'Mapa de Riesgos'!$P$61),"")</f>
        <v/>
      </c>
      <c r="AK24" s="14" t="str">
        <f>IF(AND('Mapa de Riesgos'!$Z$62="Alta",'Mapa de Riesgos'!$AB$62="Catastrófico"),CONCATENATE("R9C",'Mapa de Riesgos'!$P$62),"")</f>
        <v/>
      </c>
      <c r="AL24" s="14" t="str">
        <f>IF(AND('Mapa de Riesgos'!$Z$63="Alta",'Mapa de Riesgos'!$AB$63="Catastrófico"),CONCATENATE("R9C",'Mapa de Riesgos'!$P$63),"")</f>
        <v/>
      </c>
      <c r="AM24" s="15" t="str">
        <f>IF(AND('Mapa de Riesgos'!$Z$64="Alta",'Mapa de Riesgos'!$AB$64="Catastrófico"),CONCATENATE("R9C",'Mapa de Riesgos'!$P$64),"")</f>
        <v/>
      </c>
      <c r="AN24" s="41"/>
      <c r="AO24" s="429"/>
      <c r="AP24" s="430"/>
      <c r="AQ24" s="430"/>
      <c r="AR24" s="430"/>
      <c r="AS24" s="430"/>
      <c r="AT24" s="43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row>
    <row r="25" spans="1:76" ht="15.75" customHeight="1" thickBot="1" x14ac:dyDescent="0.3">
      <c r="A25" s="41"/>
      <c r="B25" s="340"/>
      <c r="C25" s="340"/>
      <c r="D25" s="341"/>
      <c r="E25" s="440"/>
      <c r="F25" s="441"/>
      <c r="G25" s="441"/>
      <c r="H25" s="441"/>
      <c r="I25" s="441"/>
      <c r="J25" s="28" t="str">
        <f>IF(AND('Mapa de Riesgos'!$Z$65="Alta",'Mapa de Riesgos'!$AB$65="Leve"),CONCATENATE("R10C",'Mapa de Riesgos'!$P$65),"")</f>
        <v/>
      </c>
      <c r="K25" s="29" t="str">
        <f>IF(AND('Mapa de Riesgos'!$Z$66="Alta",'Mapa de Riesgos'!$AB$66="Leve"),CONCATENATE("R10C",'Mapa de Riesgos'!$P$66),"")</f>
        <v/>
      </c>
      <c r="L25" s="29" t="str">
        <f>IF(AND('Mapa de Riesgos'!$Z$67="Alta",'Mapa de Riesgos'!$AB$67="Leve"),CONCATENATE("R10C",'Mapa de Riesgos'!$P$67),"")</f>
        <v/>
      </c>
      <c r="M25" s="29" t="str">
        <f>IF(AND('Mapa de Riesgos'!$Z$68="Alta",'Mapa de Riesgos'!$AB$68="Leve"),CONCATENATE("R10C",'Mapa de Riesgos'!$P$68),"")</f>
        <v/>
      </c>
      <c r="N25" s="29" t="str">
        <f>IF(AND('Mapa de Riesgos'!$Z$69="Alta",'Mapa de Riesgos'!$AB$69="Leve"),CONCATENATE("R10C",'Mapa de Riesgos'!$P$69),"")</f>
        <v/>
      </c>
      <c r="O25" s="30" t="str">
        <f>IF(AND('Mapa de Riesgos'!$Z$70="Alta",'Mapa de Riesgos'!$AB$70="Leve"),CONCATENATE("R10C",'Mapa de Riesgos'!$P$70),"")</f>
        <v/>
      </c>
      <c r="P25" s="28" t="str">
        <f>IF(AND('Mapa de Riesgos'!$Z$65="Alta",'Mapa de Riesgos'!$AB$65="Menor"),CONCATENATE("R10C",'Mapa de Riesgos'!$P$65),"")</f>
        <v/>
      </c>
      <c r="Q25" s="29" t="str">
        <f>IF(AND('Mapa de Riesgos'!$Z$66="Alta",'Mapa de Riesgos'!$AB$66="Menor"),CONCATENATE("R10C",'Mapa de Riesgos'!$P$66),"")</f>
        <v/>
      </c>
      <c r="R25" s="29" t="str">
        <f>IF(AND('Mapa de Riesgos'!$Z$67="Alta",'Mapa de Riesgos'!$AB$67="Menor"),CONCATENATE("R10C",'Mapa de Riesgos'!$P$67),"")</f>
        <v/>
      </c>
      <c r="S25" s="29" t="str">
        <f>IF(AND('Mapa de Riesgos'!$Z$68="Alta",'Mapa de Riesgos'!$AB$68="Menor"),CONCATENATE("R10C",'Mapa de Riesgos'!$P$68),"")</f>
        <v/>
      </c>
      <c r="T25" s="29" t="str">
        <f>IF(AND('Mapa de Riesgos'!$Z$69="Alta",'Mapa de Riesgos'!$AB$69="Menor"),CONCATENATE("R10C",'Mapa de Riesgos'!$P$69),"")</f>
        <v/>
      </c>
      <c r="U25" s="30" t="str">
        <f>IF(AND('Mapa de Riesgos'!$Z$70="Alta",'Mapa de Riesgos'!$AB$70="Menor"),CONCATENATE("R10C",'Mapa de Riesgos'!$P$70),"")</f>
        <v/>
      </c>
      <c r="V25" s="16" t="str">
        <f>IF(AND('Mapa de Riesgos'!$Z$65="Alta",'Mapa de Riesgos'!$AB$65="Moderado"),CONCATENATE("R10C",'Mapa de Riesgos'!$P$65),"")</f>
        <v/>
      </c>
      <c r="W25" s="17" t="str">
        <f>IF(AND('Mapa de Riesgos'!$Z$66="Alta",'Mapa de Riesgos'!$AB$66="Moderado"),CONCATENATE("R10C",'Mapa de Riesgos'!$P$66),"")</f>
        <v/>
      </c>
      <c r="X25" s="17" t="str">
        <f>IF(AND('Mapa de Riesgos'!$Z$67="Alta",'Mapa de Riesgos'!$AB$67="Moderado"),CONCATENATE("R10C",'Mapa de Riesgos'!$P$67),"")</f>
        <v/>
      </c>
      <c r="Y25" s="17" t="str">
        <f>IF(AND('Mapa de Riesgos'!$Z$68="Alta",'Mapa de Riesgos'!$AB$68="Moderado"),CONCATENATE("R10C",'Mapa de Riesgos'!$P$68),"")</f>
        <v/>
      </c>
      <c r="Z25" s="17" t="str">
        <f>IF(AND('Mapa de Riesgos'!$Z$69="Alta",'Mapa de Riesgos'!$AB$69="Moderado"),CONCATENATE("R10C",'Mapa de Riesgos'!$P$69),"")</f>
        <v/>
      </c>
      <c r="AA25" s="18" t="str">
        <f>IF(AND('Mapa de Riesgos'!$Z$70="Alta",'Mapa de Riesgos'!$AB$70="Moderado"),CONCATENATE("R10C",'Mapa de Riesgos'!$P$70),"")</f>
        <v/>
      </c>
      <c r="AB25" s="16" t="str">
        <f>IF(AND('Mapa de Riesgos'!$Z$65="Alta",'Mapa de Riesgos'!$AB$65="Mayor"),CONCATENATE("R10C",'Mapa de Riesgos'!$P$65),"")</f>
        <v/>
      </c>
      <c r="AC25" s="17" t="str">
        <f>IF(AND('Mapa de Riesgos'!$Z$66="Alta",'Mapa de Riesgos'!$AB$66="Mayor"),CONCATENATE("R10C",'Mapa de Riesgos'!$P$66),"")</f>
        <v/>
      </c>
      <c r="AD25" s="17" t="str">
        <f>IF(AND('Mapa de Riesgos'!$Z$67="Alta",'Mapa de Riesgos'!$AB$67="Mayor"),CONCATENATE("R10C",'Mapa de Riesgos'!$P$67),"")</f>
        <v/>
      </c>
      <c r="AE25" s="17" t="str">
        <f>IF(AND('Mapa de Riesgos'!$Z$68="Alta",'Mapa de Riesgos'!$AB$68="Mayor"),CONCATENATE("R10C",'Mapa de Riesgos'!$P$68),"")</f>
        <v/>
      </c>
      <c r="AF25" s="17" t="str">
        <f>IF(AND('Mapa de Riesgos'!$Z$69="Alta",'Mapa de Riesgos'!$AB$69="Mayor"),CONCATENATE("R10C",'Mapa de Riesgos'!$P$69),"")</f>
        <v/>
      </c>
      <c r="AG25" s="18" t="str">
        <f>IF(AND('Mapa de Riesgos'!$Z$70="Alta",'Mapa de Riesgos'!$AB$70="Mayor"),CONCATENATE("R10C",'Mapa de Riesgos'!$P$70),"")</f>
        <v/>
      </c>
      <c r="AH25" s="19" t="str">
        <f>IF(AND('Mapa de Riesgos'!$Z$65="Alta",'Mapa de Riesgos'!$AB$65="Catastrófico"),CONCATENATE("R10C",'Mapa de Riesgos'!$P$65),"")</f>
        <v/>
      </c>
      <c r="AI25" s="20" t="str">
        <f>IF(AND('Mapa de Riesgos'!$Z$66="Alta",'Mapa de Riesgos'!$AB$66="Catastrófico"),CONCATENATE("R10C",'Mapa de Riesgos'!$P$66),"")</f>
        <v/>
      </c>
      <c r="AJ25" s="20" t="str">
        <f>IF(AND('Mapa de Riesgos'!$Z$67="Alta",'Mapa de Riesgos'!$AB$67="Catastrófico"),CONCATENATE("R10C",'Mapa de Riesgos'!$P$67),"")</f>
        <v/>
      </c>
      <c r="AK25" s="20" t="str">
        <f>IF(AND('Mapa de Riesgos'!$Z$68="Alta",'Mapa de Riesgos'!$AB$68="Catastrófico"),CONCATENATE("R10C",'Mapa de Riesgos'!$P$68),"")</f>
        <v/>
      </c>
      <c r="AL25" s="20" t="str">
        <f>IF(AND('Mapa de Riesgos'!$Z$69="Alta",'Mapa de Riesgos'!$AB$69="Catastrófico"),CONCATENATE("R10C",'Mapa de Riesgos'!$P$69),"")</f>
        <v/>
      </c>
      <c r="AM25" s="21" t="str">
        <f>IF(AND('Mapa de Riesgos'!$Z$70="Alta",'Mapa de Riesgos'!$AB$70="Catastrófico"),CONCATENATE("R10C",'Mapa de Riesgos'!$P$70),"")</f>
        <v/>
      </c>
      <c r="AN25" s="41"/>
      <c r="AO25" s="432"/>
      <c r="AP25" s="433"/>
      <c r="AQ25" s="433"/>
      <c r="AR25" s="433"/>
      <c r="AS25" s="433"/>
      <c r="AT25" s="434"/>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x14ac:dyDescent="0.25">
      <c r="A26" s="41"/>
      <c r="B26" s="340"/>
      <c r="C26" s="340"/>
      <c r="D26" s="341"/>
      <c r="E26" s="435" t="s">
        <v>115</v>
      </c>
      <c r="F26" s="436"/>
      <c r="G26" s="436"/>
      <c r="H26" s="436"/>
      <c r="I26" s="453"/>
      <c r="J26" s="22" t="str">
        <f>IF(AND('Mapa de Riesgos'!$Z$11="Media",'Mapa de Riesgos'!$AB$11="Leve"),CONCATENATE("R1C",'Mapa de Riesgos'!$P$11),"")</f>
        <v/>
      </c>
      <c r="K26" s="23" t="str">
        <f>IF(AND('Mapa de Riesgos'!$Z$12="Media",'Mapa de Riesgos'!$AB$12="Leve"),CONCATENATE("R1C",'Mapa de Riesgos'!$P$12),"")</f>
        <v/>
      </c>
      <c r="L26" s="23" t="str">
        <f>IF(AND('Mapa de Riesgos'!$Z$13="Media",'Mapa de Riesgos'!$AB$13="Leve"),CONCATENATE("R1C",'Mapa de Riesgos'!$P$13),"")</f>
        <v/>
      </c>
      <c r="M26" s="23" t="str">
        <f>IF(AND('Mapa de Riesgos'!$Z$14="Media",'Mapa de Riesgos'!$AB$14="Leve"),CONCATENATE("R1C",'Mapa de Riesgos'!$P$14),"")</f>
        <v/>
      </c>
      <c r="N26" s="23" t="str">
        <f>IF(AND('Mapa de Riesgos'!$Z$15="Media",'Mapa de Riesgos'!$AB$15="Leve"),CONCATENATE("R1C",'Mapa de Riesgos'!$P$15),"")</f>
        <v/>
      </c>
      <c r="O26" s="24" t="str">
        <f>IF(AND('Mapa de Riesgos'!$Z$16="Media",'Mapa de Riesgos'!$AB$16="Leve"),CONCATENATE("R1C",'Mapa de Riesgos'!$P$16),"")</f>
        <v/>
      </c>
      <c r="P26" s="22" t="str">
        <f>IF(AND('Mapa de Riesgos'!$Z$11="Media",'Mapa de Riesgos'!$AB$11="Menor"),CONCATENATE("R1C",'Mapa de Riesgos'!$P$11),"")</f>
        <v/>
      </c>
      <c r="Q26" s="23" t="str">
        <f>IF(AND('Mapa de Riesgos'!$Z$12="Media",'Mapa de Riesgos'!$AB$12="Menor"),CONCATENATE("R1C",'Mapa de Riesgos'!$P$12),"")</f>
        <v/>
      </c>
      <c r="R26" s="23" t="str">
        <f>IF(AND('Mapa de Riesgos'!$Z$13="Media",'Mapa de Riesgos'!$AB$13="Menor"),CONCATENATE("R1C",'Mapa de Riesgos'!$P$13),"")</f>
        <v/>
      </c>
      <c r="S26" s="23" t="str">
        <f>IF(AND('Mapa de Riesgos'!$Z$14="Media",'Mapa de Riesgos'!$AB$14="Menor"),CONCATENATE("R1C",'Mapa de Riesgos'!$P$14),"")</f>
        <v/>
      </c>
      <c r="T26" s="23" t="str">
        <f>IF(AND('Mapa de Riesgos'!$Z$15="Media",'Mapa de Riesgos'!$AB$15="Menor"),CONCATENATE("R1C",'Mapa de Riesgos'!$P$15),"")</f>
        <v/>
      </c>
      <c r="U26" s="24" t="str">
        <f>IF(AND('Mapa de Riesgos'!$Z$16="Media",'Mapa de Riesgos'!$AB$16="Menor"),CONCATENATE("R1C",'Mapa de Riesgos'!$P$16),"")</f>
        <v/>
      </c>
      <c r="V26" s="22" t="str">
        <f>IF(AND('Mapa de Riesgos'!$Z$11="Media",'Mapa de Riesgos'!$AB$11="Moderado"),CONCATENATE("R1C",'Mapa de Riesgos'!$P$11),"")</f>
        <v/>
      </c>
      <c r="W26" s="23" t="str">
        <f>IF(AND('Mapa de Riesgos'!$Z$12="Media",'Mapa de Riesgos'!$AB$12="Moderado"),CONCATENATE("R1C",'Mapa de Riesgos'!$P$12),"")</f>
        <v/>
      </c>
      <c r="X26" s="23" t="str">
        <f>IF(AND('Mapa de Riesgos'!$Z$13="Media",'Mapa de Riesgos'!$AB$13="Moderado"),CONCATENATE("R1C",'Mapa de Riesgos'!$P$13),"")</f>
        <v/>
      </c>
      <c r="Y26" s="23" t="str">
        <f>IF(AND('Mapa de Riesgos'!$Z$14="Media",'Mapa de Riesgos'!$AB$14="Moderado"),CONCATENATE("R1C",'Mapa de Riesgos'!$P$14),"")</f>
        <v/>
      </c>
      <c r="Z26" s="23" t="str">
        <f>IF(AND('Mapa de Riesgos'!$Z$15="Media",'Mapa de Riesgos'!$AB$15="Moderado"),CONCATENATE("R1C",'Mapa de Riesgos'!$P$15),"")</f>
        <v/>
      </c>
      <c r="AA26" s="24" t="str">
        <f>IF(AND('Mapa de Riesgos'!$Z$16="Media",'Mapa de Riesgos'!$AB$16="Moderado"),CONCATENATE("R1C",'Mapa de Riesgos'!$P$16),"")</f>
        <v/>
      </c>
      <c r="AB26" s="4" t="str">
        <f>IF(AND('Mapa de Riesgos'!$Z$11="Media",'Mapa de Riesgos'!$AB$11="Mayor"),CONCATENATE("R1C",'Mapa de Riesgos'!$P$11),"")</f>
        <v/>
      </c>
      <c r="AC26" s="5" t="str">
        <f>IF(AND('Mapa de Riesgos'!$Z$12="Media",'Mapa de Riesgos'!$AB$12="Mayor"),CONCATENATE("R1C",'Mapa de Riesgos'!$P$12),"")</f>
        <v/>
      </c>
      <c r="AD26" s="5" t="str">
        <f>IF(AND('Mapa de Riesgos'!$Z$13="Media",'Mapa de Riesgos'!$AB$13="Mayor"),CONCATENATE("R1C",'Mapa de Riesgos'!$P$13),"")</f>
        <v/>
      </c>
      <c r="AE26" s="5" t="str">
        <f>IF(AND('Mapa de Riesgos'!$Z$14="Media",'Mapa de Riesgos'!$AB$14="Mayor"),CONCATENATE("R1C",'Mapa de Riesgos'!$P$14),"")</f>
        <v/>
      </c>
      <c r="AF26" s="5" t="str">
        <f>IF(AND('Mapa de Riesgos'!$Z$15="Media",'Mapa de Riesgos'!$AB$15="Mayor"),CONCATENATE("R1C",'Mapa de Riesgos'!$P$15),"")</f>
        <v/>
      </c>
      <c r="AG26" s="6" t="str">
        <f>IF(AND('Mapa de Riesgos'!$Z$16="Media",'Mapa de Riesgos'!$AB$16="Mayor"),CONCATENATE("R1C",'Mapa de Riesgos'!$P$16),"")</f>
        <v/>
      </c>
      <c r="AH26" s="7" t="str">
        <f>IF(AND('Mapa de Riesgos'!$Z$11="Media",'Mapa de Riesgos'!$AB$11="Catastrófico"),CONCATENATE("R1C",'Mapa de Riesgos'!$P$11),"")</f>
        <v/>
      </c>
      <c r="AI26" s="8" t="str">
        <f>IF(AND('Mapa de Riesgos'!$Z$12="Media",'Mapa de Riesgos'!$AB$12="Catastrófico"),CONCATENATE("R1C",'Mapa de Riesgos'!$P$12),"")</f>
        <v/>
      </c>
      <c r="AJ26" s="8" t="str">
        <f>IF(AND('Mapa de Riesgos'!$Z$13="Media",'Mapa de Riesgos'!$AB$13="Catastrófico"),CONCATENATE("R1C",'Mapa de Riesgos'!$P$13),"")</f>
        <v/>
      </c>
      <c r="AK26" s="8" t="str">
        <f>IF(AND('Mapa de Riesgos'!$Z$14="Media",'Mapa de Riesgos'!$AB$14="Catastrófico"),CONCATENATE("R1C",'Mapa de Riesgos'!$P$14),"")</f>
        <v/>
      </c>
      <c r="AL26" s="8" t="str">
        <f>IF(AND('Mapa de Riesgos'!$Z$15="Media",'Mapa de Riesgos'!$AB$15="Catastrófico"),CONCATENATE("R1C",'Mapa de Riesgos'!$P$15),"")</f>
        <v/>
      </c>
      <c r="AM26" s="9" t="str">
        <f>IF(AND('Mapa de Riesgos'!$Z$16="Media",'Mapa de Riesgos'!$AB$16="Catastrófico"),CONCATENATE("R1C",'Mapa de Riesgos'!$P$16),"")</f>
        <v/>
      </c>
      <c r="AN26" s="41"/>
      <c r="AO26" s="465" t="s">
        <v>116</v>
      </c>
      <c r="AP26" s="466"/>
      <c r="AQ26" s="466"/>
      <c r="AR26" s="466"/>
      <c r="AS26" s="466"/>
      <c r="AT26" s="467"/>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x14ac:dyDescent="0.25">
      <c r="A27" s="41"/>
      <c r="B27" s="340"/>
      <c r="C27" s="340"/>
      <c r="D27" s="341"/>
      <c r="E27" s="437"/>
      <c r="F27" s="438"/>
      <c r="G27" s="438"/>
      <c r="H27" s="438"/>
      <c r="I27" s="454"/>
      <c r="J27" s="25" t="str">
        <f>IF(AND('Mapa de Riesgos'!$Z$29="Media",'Mapa de Riesgos'!$AB$29="Leve"),CONCATENATE("R2C",'Mapa de Riesgos'!$P$29),"")</f>
        <v/>
      </c>
      <c r="K27" s="26" t="str">
        <f>IF(AND('Mapa de Riesgos'!$Z$30="Media",'Mapa de Riesgos'!$AB$30="Leve"),CONCATENATE("R2C",'Mapa de Riesgos'!$P$30),"")</f>
        <v/>
      </c>
      <c r="L27" s="26" t="str">
        <f>IF(AND('Mapa de Riesgos'!$Z$31="Media",'Mapa de Riesgos'!$AB$31="Leve"),CONCATENATE("R2C",'Mapa de Riesgos'!$P$31),"")</f>
        <v/>
      </c>
      <c r="M27" s="26" t="str">
        <f>IF(AND('Mapa de Riesgos'!$Z$32="Media",'Mapa de Riesgos'!$AB$32="Leve"),CONCATENATE("R2C",'Mapa de Riesgos'!$P$32),"")</f>
        <v/>
      </c>
      <c r="N27" s="26" t="str">
        <f>IF(AND('Mapa de Riesgos'!$Z$33="Media",'Mapa de Riesgos'!$AB$33="Leve"),CONCATENATE("R2C",'Mapa de Riesgos'!$P$33),"")</f>
        <v/>
      </c>
      <c r="O27" s="27" t="str">
        <f>IF(AND('Mapa de Riesgos'!$Z$34="Media",'Mapa de Riesgos'!$AB$34="Leve"),CONCATENATE("R2C",'Mapa de Riesgos'!$P$34),"")</f>
        <v/>
      </c>
      <c r="P27" s="25" t="str">
        <f>IF(AND('Mapa de Riesgos'!$Z$29="Media",'Mapa de Riesgos'!$AB$29="Menor"),CONCATENATE("R2C",'Mapa de Riesgos'!$P$29),"")</f>
        <v/>
      </c>
      <c r="Q27" s="26" t="str">
        <f>IF(AND('Mapa de Riesgos'!$Z$30="Media",'Mapa de Riesgos'!$AB$30="Menor"),CONCATENATE("R2C",'Mapa de Riesgos'!$P$30),"")</f>
        <v/>
      </c>
      <c r="R27" s="26" t="str">
        <f>IF(AND('Mapa de Riesgos'!$Z$31="Media",'Mapa de Riesgos'!$AB$31="Menor"),CONCATENATE("R2C",'Mapa de Riesgos'!$P$31),"")</f>
        <v/>
      </c>
      <c r="S27" s="26" t="str">
        <f>IF(AND('Mapa de Riesgos'!$Z$32="Media",'Mapa de Riesgos'!$AB$32="Menor"),CONCATENATE("R2C",'Mapa de Riesgos'!$P$32),"")</f>
        <v/>
      </c>
      <c r="T27" s="26" t="str">
        <f>IF(AND('Mapa de Riesgos'!$Z$33="Media",'Mapa de Riesgos'!$AB$33="Menor"),CONCATENATE("R2C",'Mapa de Riesgos'!$P$33),"")</f>
        <v/>
      </c>
      <c r="U27" s="27" t="str">
        <f>IF(AND('Mapa de Riesgos'!$Z$34="Media",'Mapa de Riesgos'!$AB$34="Menor"),CONCATENATE("R2C",'Mapa de Riesgos'!$P$34),"")</f>
        <v/>
      </c>
      <c r="V27" s="25" t="str">
        <f>IF(AND('Mapa de Riesgos'!$Z$29="Media",'Mapa de Riesgos'!$AB$29="Moderado"),CONCATENATE("R2C",'Mapa de Riesgos'!$P$29),"")</f>
        <v/>
      </c>
      <c r="W27" s="26" t="str">
        <f>IF(AND('Mapa de Riesgos'!$Z$30="Media",'Mapa de Riesgos'!$AB$30="Moderado"),CONCATENATE("R2C",'Mapa de Riesgos'!$P$30),"")</f>
        <v/>
      </c>
      <c r="X27" s="26" t="str">
        <f>IF(AND('Mapa de Riesgos'!$Z$31="Media",'Mapa de Riesgos'!$AB$31="Moderado"),CONCATENATE("R2C",'Mapa de Riesgos'!$P$31),"")</f>
        <v/>
      </c>
      <c r="Y27" s="26" t="str">
        <f>IF(AND('Mapa de Riesgos'!$Z$32="Media",'Mapa de Riesgos'!$AB$32="Moderado"),CONCATENATE("R2C",'Mapa de Riesgos'!$P$32),"")</f>
        <v/>
      </c>
      <c r="Z27" s="26" t="str">
        <f>IF(AND('Mapa de Riesgos'!$Z$33="Media",'Mapa de Riesgos'!$AB$33="Moderado"),CONCATENATE("R2C",'Mapa de Riesgos'!$P$33),"")</f>
        <v/>
      </c>
      <c r="AA27" s="27" t="str">
        <f>IF(AND('Mapa de Riesgos'!$Z$34="Media",'Mapa de Riesgos'!$AB$34="Moderado"),CONCATENATE("R2C",'Mapa de Riesgos'!$P$34),"")</f>
        <v/>
      </c>
      <c r="AB27" s="10" t="str">
        <f>IF(AND('Mapa de Riesgos'!$Z$29="Media",'Mapa de Riesgos'!$AB$29="Mayor"),CONCATENATE("R2C",'Mapa de Riesgos'!$P$29),"")</f>
        <v/>
      </c>
      <c r="AC27" s="11" t="str">
        <f>IF(AND('Mapa de Riesgos'!$Z$30="Media",'Mapa de Riesgos'!$AB$30="Mayor"),CONCATENATE("R2C",'Mapa de Riesgos'!$P$30),"")</f>
        <v/>
      </c>
      <c r="AD27" s="11" t="str">
        <f>IF(AND('Mapa de Riesgos'!$Z$31="Media",'Mapa de Riesgos'!$AB$31="Mayor"),CONCATENATE("R2C",'Mapa de Riesgos'!$P$31),"")</f>
        <v/>
      </c>
      <c r="AE27" s="11" t="str">
        <f>IF(AND('Mapa de Riesgos'!$Z$32="Media",'Mapa de Riesgos'!$AB$32="Mayor"),CONCATENATE("R2C",'Mapa de Riesgos'!$P$32),"")</f>
        <v/>
      </c>
      <c r="AF27" s="11" t="str">
        <f>IF(AND('Mapa de Riesgos'!$Z$33="Media",'Mapa de Riesgos'!$AB$33="Mayor"),CONCATENATE("R2C",'Mapa de Riesgos'!$P$33),"")</f>
        <v/>
      </c>
      <c r="AG27" s="12" t="str">
        <f>IF(AND('Mapa de Riesgos'!$Z$34="Media",'Mapa de Riesgos'!$AB$34="Mayor"),CONCATENATE("R2C",'Mapa de Riesgos'!$P$34),"")</f>
        <v/>
      </c>
      <c r="AH27" s="13" t="str">
        <f>IF(AND('Mapa de Riesgos'!$Z$29="Media",'Mapa de Riesgos'!$AB$29="Catastrófico"),CONCATENATE("R2C",'Mapa de Riesgos'!$P$29),"")</f>
        <v/>
      </c>
      <c r="AI27" s="14" t="str">
        <f>IF(AND('Mapa de Riesgos'!$Z$30="Media",'Mapa de Riesgos'!$AB$30="Catastrófico"),CONCATENATE("R2C",'Mapa de Riesgos'!$P$30),"")</f>
        <v/>
      </c>
      <c r="AJ27" s="14" t="str">
        <f>IF(AND('Mapa de Riesgos'!$Z$31="Media",'Mapa de Riesgos'!$AB$31="Catastrófico"),CONCATENATE("R2C",'Mapa de Riesgos'!$P$31),"")</f>
        <v/>
      </c>
      <c r="AK27" s="14" t="str">
        <f>IF(AND('Mapa de Riesgos'!$Z$32="Media",'Mapa de Riesgos'!$AB$32="Catastrófico"),CONCATENATE("R2C",'Mapa de Riesgos'!$P$32),"")</f>
        <v/>
      </c>
      <c r="AL27" s="14" t="str">
        <f>IF(AND('Mapa de Riesgos'!$Z$33="Media",'Mapa de Riesgos'!$AB$33="Catastrófico"),CONCATENATE("R2C",'Mapa de Riesgos'!$P$33),"")</f>
        <v/>
      </c>
      <c r="AM27" s="15" t="str">
        <f>IF(AND('Mapa de Riesgos'!$Z$34="Media",'Mapa de Riesgos'!$AB$34="Catastrófico"),CONCATENATE("R2C",'Mapa de Riesgos'!$P$34),"")</f>
        <v/>
      </c>
      <c r="AN27" s="41"/>
      <c r="AO27" s="468"/>
      <c r="AP27" s="469"/>
      <c r="AQ27" s="469"/>
      <c r="AR27" s="469"/>
      <c r="AS27" s="469"/>
      <c r="AT27" s="470"/>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x14ac:dyDescent="0.25">
      <c r="A28" s="41"/>
      <c r="B28" s="340"/>
      <c r="C28" s="340"/>
      <c r="D28" s="341"/>
      <c r="E28" s="439"/>
      <c r="F28" s="438"/>
      <c r="G28" s="438"/>
      <c r="H28" s="438"/>
      <c r="I28" s="454"/>
      <c r="J28" s="25" t="str">
        <f>IF(AND('Mapa de Riesgos'!$Z$35="Media",'Mapa de Riesgos'!$AB$35="Leve"),CONCATENATE("R3C",'Mapa de Riesgos'!$P$35),"")</f>
        <v/>
      </c>
      <c r="K28" s="26" t="str">
        <f>IF(AND('Mapa de Riesgos'!$Z$36="Media",'Mapa de Riesgos'!$AB$36="Leve"),CONCATENATE("R3C",'Mapa de Riesgos'!$P$36),"")</f>
        <v/>
      </c>
      <c r="L28" s="26" t="str">
        <f>IF(AND('Mapa de Riesgos'!$Z$37="Media",'Mapa de Riesgos'!$AB$37="Leve"),CONCATENATE("R3C",'Mapa de Riesgos'!$P$37),"")</f>
        <v/>
      </c>
      <c r="M28" s="26" t="str">
        <f>IF(AND('Mapa de Riesgos'!$Z$38="Media",'Mapa de Riesgos'!$AB$38="Leve"),CONCATENATE("R3C",'Mapa de Riesgos'!$P$38),"")</f>
        <v/>
      </c>
      <c r="N28" s="26" t="str">
        <f>IF(AND('Mapa de Riesgos'!$Z$39="Media",'Mapa de Riesgos'!$AB$39="Leve"),CONCATENATE("R3C",'Mapa de Riesgos'!$P$39),"")</f>
        <v/>
      </c>
      <c r="O28" s="27" t="str">
        <f>IF(AND('Mapa de Riesgos'!$Z$40="Media",'Mapa de Riesgos'!$AB$40="Leve"),CONCATENATE("R3C",'Mapa de Riesgos'!$P$40),"")</f>
        <v/>
      </c>
      <c r="P28" s="25" t="str">
        <f>IF(AND('Mapa de Riesgos'!$Z$35="Media",'Mapa de Riesgos'!$AB$35="Menor"),CONCATENATE("R3C",'Mapa de Riesgos'!$P$35),"")</f>
        <v/>
      </c>
      <c r="Q28" s="26" t="str">
        <f>IF(AND('Mapa de Riesgos'!$Z$36="Media",'Mapa de Riesgos'!$AB$36="Menor"),CONCATENATE("R3C",'Mapa de Riesgos'!$P$36),"")</f>
        <v/>
      </c>
      <c r="R28" s="26" t="str">
        <f>IF(AND('Mapa de Riesgos'!$Z$37="Media",'Mapa de Riesgos'!$AB$37="Menor"),CONCATENATE("R3C",'Mapa de Riesgos'!$P$37),"")</f>
        <v/>
      </c>
      <c r="S28" s="26" t="str">
        <f>IF(AND('Mapa de Riesgos'!$Z$38="Media",'Mapa de Riesgos'!$AB$38="Menor"),CONCATENATE("R3C",'Mapa de Riesgos'!$P$38),"")</f>
        <v/>
      </c>
      <c r="T28" s="26" t="str">
        <f>IF(AND('Mapa de Riesgos'!$Z$39="Media",'Mapa de Riesgos'!$AB$39="Menor"),CONCATENATE("R3C",'Mapa de Riesgos'!$P$39),"")</f>
        <v/>
      </c>
      <c r="U28" s="27" t="str">
        <f>IF(AND('Mapa de Riesgos'!$Z$40="Media",'Mapa de Riesgos'!$AB$40="Menor"),CONCATENATE("R3C",'Mapa de Riesgos'!$P$40),"")</f>
        <v/>
      </c>
      <c r="V28" s="25" t="str">
        <f>IF(AND('Mapa de Riesgos'!$Z$35="Media",'Mapa de Riesgos'!$AB$35="Moderado"),CONCATENATE("R3C",'Mapa de Riesgos'!$P$35),"")</f>
        <v/>
      </c>
      <c r="W28" s="26" t="str">
        <f>IF(AND('Mapa de Riesgos'!$Z$36="Media",'Mapa de Riesgos'!$AB$36="Moderado"),CONCATENATE("R3C",'Mapa de Riesgos'!$P$36),"")</f>
        <v/>
      </c>
      <c r="X28" s="26" t="str">
        <f>IF(AND('Mapa de Riesgos'!$Z$37="Media",'Mapa de Riesgos'!$AB$37="Moderado"),CONCATENATE("R3C",'Mapa de Riesgos'!$P$37),"")</f>
        <v/>
      </c>
      <c r="Y28" s="26" t="str">
        <f>IF(AND('Mapa de Riesgos'!$Z$38="Media",'Mapa de Riesgos'!$AB$38="Moderado"),CONCATENATE("R3C",'Mapa de Riesgos'!$P$38),"")</f>
        <v/>
      </c>
      <c r="Z28" s="26" t="str">
        <f>IF(AND('Mapa de Riesgos'!$Z$39="Media",'Mapa de Riesgos'!$AB$39="Moderado"),CONCATENATE("R3C",'Mapa de Riesgos'!$P$39),"")</f>
        <v/>
      </c>
      <c r="AA28" s="27" t="str">
        <f>IF(AND('Mapa de Riesgos'!$Z$40="Media",'Mapa de Riesgos'!$AB$40="Moderado"),CONCATENATE("R3C",'Mapa de Riesgos'!$P$40),"")</f>
        <v/>
      </c>
      <c r="AB28" s="10" t="str">
        <f>IF(AND('Mapa de Riesgos'!$Z$35="Media",'Mapa de Riesgos'!$AB$35="Mayor"),CONCATENATE("R3C",'Mapa de Riesgos'!$P$35),"")</f>
        <v/>
      </c>
      <c r="AC28" s="11" t="str">
        <f>IF(AND('Mapa de Riesgos'!$Z$36="Media",'Mapa de Riesgos'!$AB$36="Mayor"),CONCATENATE("R3C",'Mapa de Riesgos'!$P$36),"")</f>
        <v/>
      </c>
      <c r="AD28" s="11" t="str">
        <f>IF(AND('Mapa de Riesgos'!$Z$37="Media",'Mapa de Riesgos'!$AB$37="Mayor"),CONCATENATE("R3C",'Mapa de Riesgos'!$P$37),"")</f>
        <v/>
      </c>
      <c r="AE28" s="11" t="str">
        <f>IF(AND('Mapa de Riesgos'!$Z$38="Media",'Mapa de Riesgos'!$AB$38="Mayor"),CONCATENATE("R3C",'Mapa de Riesgos'!$P$38),"")</f>
        <v/>
      </c>
      <c r="AF28" s="11" t="str">
        <f>IF(AND('Mapa de Riesgos'!$Z$39="Media",'Mapa de Riesgos'!$AB$39="Mayor"),CONCATENATE("R3C",'Mapa de Riesgos'!$P$39),"")</f>
        <v/>
      </c>
      <c r="AG28" s="12" t="str">
        <f>IF(AND('Mapa de Riesgos'!$Z$40="Media",'Mapa de Riesgos'!$AB$40="Mayor"),CONCATENATE("R3C",'Mapa de Riesgos'!$P$40),"")</f>
        <v/>
      </c>
      <c r="AH28" s="13" t="str">
        <f>IF(AND('Mapa de Riesgos'!$Z$35="Media",'Mapa de Riesgos'!$AB$35="Catastrófico"),CONCATENATE("R3C",'Mapa de Riesgos'!$P$35),"")</f>
        <v/>
      </c>
      <c r="AI28" s="14" t="str">
        <f>IF(AND('Mapa de Riesgos'!$Z$36="Media",'Mapa de Riesgos'!$AB$36="Catastrófico"),CONCATENATE("R3C",'Mapa de Riesgos'!$P$36),"")</f>
        <v/>
      </c>
      <c r="AJ28" s="14" t="str">
        <f>IF(AND('Mapa de Riesgos'!$Z$37="Media",'Mapa de Riesgos'!$AB$37="Catastrófico"),CONCATENATE("R3C",'Mapa de Riesgos'!$P$37),"")</f>
        <v/>
      </c>
      <c r="AK28" s="14" t="str">
        <f>IF(AND('Mapa de Riesgos'!$Z$38="Media",'Mapa de Riesgos'!$AB$38="Catastrófico"),CONCATENATE("R3C",'Mapa de Riesgos'!$P$38),"")</f>
        <v/>
      </c>
      <c r="AL28" s="14" t="str">
        <f>IF(AND('Mapa de Riesgos'!$Z$39="Media",'Mapa de Riesgos'!$AB$39="Catastrófico"),CONCATENATE("R3C",'Mapa de Riesgos'!$P$39),"")</f>
        <v/>
      </c>
      <c r="AM28" s="15" t="str">
        <f>IF(AND('Mapa de Riesgos'!$Z$40="Media",'Mapa de Riesgos'!$AB$40="Catastrófico"),CONCATENATE("R3C",'Mapa de Riesgos'!$P$40),"")</f>
        <v/>
      </c>
      <c r="AN28" s="41"/>
      <c r="AO28" s="468"/>
      <c r="AP28" s="469"/>
      <c r="AQ28" s="469"/>
      <c r="AR28" s="469"/>
      <c r="AS28" s="469"/>
      <c r="AT28" s="470"/>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x14ac:dyDescent="0.25">
      <c r="A29" s="41"/>
      <c r="B29" s="340"/>
      <c r="C29" s="340"/>
      <c r="D29" s="341"/>
      <c r="E29" s="439"/>
      <c r="F29" s="438"/>
      <c r="G29" s="438"/>
      <c r="H29" s="438"/>
      <c r="I29" s="454"/>
      <c r="J29" s="25" t="str">
        <f>IF(AND('Mapa de Riesgos'!$Z$47="Media",'Mapa de Riesgos'!$AB$47="Leve"),CONCATENATE("R4C",'Mapa de Riesgos'!$P$47),"")</f>
        <v/>
      </c>
      <c r="K29" s="26" t="str">
        <f>IF(AND('Mapa de Riesgos'!$Z$48="Media",'Mapa de Riesgos'!$AB$48="Leve"),CONCATENATE("R4C",'Mapa de Riesgos'!$P$48),"")</f>
        <v/>
      </c>
      <c r="L29" s="26" t="str">
        <f>IF(AND('Mapa de Riesgos'!$Z$49="Media",'Mapa de Riesgos'!$AB$49="Leve"),CONCATENATE("R4C",'Mapa de Riesgos'!$P$49),"")</f>
        <v/>
      </c>
      <c r="M29" s="26" t="str">
        <f>IF(AND('Mapa de Riesgos'!$Z$50="Media",'Mapa de Riesgos'!$AB$50="Leve"),CONCATENATE("R4C",'Mapa de Riesgos'!$P$50),"")</f>
        <v/>
      </c>
      <c r="N29" s="26" t="str">
        <f>IF(AND('Mapa de Riesgos'!$Z$51="Media",'Mapa de Riesgos'!$AB$51="Leve"),CONCATENATE("R4C",'Mapa de Riesgos'!$P$51),"")</f>
        <v/>
      </c>
      <c r="O29" s="27" t="str">
        <f>IF(AND('Mapa de Riesgos'!$Z$52="Media",'Mapa de Riesgos'!$AB$52="Leve"),CONCATENATE("R4C",'Mapa de Riesgos'!$P$52),"")</f>
        <v/>
      </c>
      <c r="P29" s="25" t="str">
        <f>IF(AND('Mapa de Riesgos'!$Z$47="Media",'Mapa de Riesgos'!$AB$47="Menor"),CONCATENATE("R4C",'Mapa de Riesgos'!$P$47),"")</f>
        <v/>
      </c>
      <c r="Q29" s="26" t="str">
        <f>IF(AND('Mapa de Riesgos'!$Z$48="Media",'Mapa de Riesgos'!$AB$48="Menor"),CONCATENATE("R4C",'Mapa de Riesgos'!$P$48),"")</f>
        <v/>
      </c>
      <c r="R29" s="26" t="str">
        <f>IF(AND('Mapa de Riesgos'!$Z$49="Media",'Mapa de Riesgos'!$AB$49="Menor"),CONCATENATE("R4C",'Mapa de Riesgos'!$P$49),"")</f>
        <v/>
      </c>
      <c r="S29" s="26" t="str">
        <f>IF(AND('Mapa de Riesgos'!$Z$50="Media",'Mapa de Riesgos'!$AB$50="Menor"),CONCATENATE("R4C",'Mapa de Riesgos'!$P$50),"")</f>
        <v/>
      </c>
      <c r="T29" s="26" t="str">
        <f>IF(AND('Mapa de Riesgos'!$Z$51="Media",'Mapa de Riesgos'!$AB$51="Menor"),CONCATENATE("R4C",'Mapa de Riesgos'!$P$51),"")</f>
        <v/>
      </c>
      <c r="U29" s="27" t="str">
        <f>IF(AND('Mapa de Riesgos'!$Z$52="Media",'Mapa de Riesgos'!$AB$52="Menor"),CONCATENATE("R4C",'Mapa de Riesgos'!$P$52),"")</f>
        <v/>
      </c>
      <c r="V29" s="25" t="str">
        <f>IF(AND('Mapa de Riesgos'!$Z$47="Media",'Mapa de Riesgos'!$AB$47="Moderado"),CONCATENATE("R4C",'Mapa de Riesgos'!$P$47),"")</f>
        <v/>
      </c>
      <c r="W29" s="26" t="str">
        <f>IF(AND('Mapa de Riesgos'!$Z$48="Media",'Mapa de Riesgos'!$AB$48="Moderado"),CONCATENATE("R4C",'Mapa de Riesgos'!$P$48),"")</f>
        <v/>
      </c>
      <c r="X29" s="26" t="str">
        <f>IF(AND('Mapa de Riesgos'!$Z$49="Media",'Mapa de Riesgos'!$AB$49="Moderado"),CONCATENATE("R4C",'Mapa de Riesgos'!$P$49),"")</f>
        <v/>
      </c>
      <c r="Y29" s="26" t="str">
        <f>IF(AND('Mapa de Riesgos'!$Z$50="Media",'Mapa de Riesgos'!$AB$50="Moderado"),CONCATENATE("R4C",'Mapa de Riesgos'!$P$50),"")</f>
        <v/>
      </c>
      <c r="Z29" s="26" t="str">
        <f>IF(AND('Mapa de Riesgos'!$Z$51="Media",'Mapa de Riesgos'!$AB$51="Moderado"),CONCATENATE("R4C",'Mapa de Riesgos'!$P$51),"")</f>
        <v/>
      </c>
      <c r="AA29" s="27" t="str">
        <f>IF(AND('Mapa de Riesgos'!$Z$52="Media",'Mapa de Riesgos'!$AB$52="Moderado"),CONCATENATE("R4C",'Mapa de Riesgos'!$P$52),"")</f>
        <v/>
      </c>
      <c r="AB29" s="10" t="str">
        <f>IF(AND('Mapa de Riesgos'!$Z$47="Media",'Mapa de Riesgos'!$AB$47="Mayor"),CONCATENATE("R4C",'Mapa de Riesgos'!$P$47),"")</f>
        <v/>
      </c>
      <c r="AC29" s="11" t="str">
        <f>IF(AND('Mapa de Riesgos'!$Z$48="Media",'Mapa de Riesgos'!$AB$48="Mayor"),CONCATENATE("R4C",'Mapa de Riesgos'!$P$48),"")</f>
        <v/>
      </c>
      <c r="AD29" s="11" t="str">
        <f>IF(AND('Mapa de Riesgos'!$Z$49="Media",'Mapa de Riesgos'!$AB$49="Mayor"),CONCATENATE("R4C",'Mapa de Riesgos'!$P$49),"")</f>
        <v/>
      </c>
      <c r="AE29" s="11" t="str">
        <f>IF(AND('Mapa de Riesgos'!$Z$50="Media",'Mapa de Riesgos'!$AB$50="Mayor"),CONCATENATE("R4C",'Mapa de Riesgos'!$P$50),"")</f>
        <v/>
      </c>
      <c r="AF29" s="11" t="str">
        <f>IF(AND('Mapa de Riesgos'!$Z$51="Media",'Mapa de Riesgos'!$AB$51="Mayor"),CONCATENATE("R4C",'Mapa de Riesgos'!$P$51),"")</f>
        <v/>
      </c>
      <c r="AG29" s="12" t="str">
        <f>IF(AND('Mapa de Riesgos'!$Z$52="Media",'Mapa de Riesgos'!$AB$52="Mayor"),CONCATENATE("R4C",'Mapa de Riesgos'!$P$52),"")</f>
        <v/>
      </c>
      <c r="AH29" s="13" t="str">
        <f>IF(AND('Mapa de Riesgos'!$Z$47="Media",'Mapa de Riesgos'!$AB$47="Catastrófico"),CONCATENATE("R4C",'Mapa de Riesgos'!$P$47),"")</f>
        <v/>
      </c>
      <c r="AI29" s="14" t="str">
        <f>IF(AND('Mapa de Riesgos'!$Z$48="Media",'Mapa de Riesgos'!$AB$48="Catastrófico"),CONCATENATE("R4C",'Mapa de Riesgos'!$P$48),"")</f>
        <v/>
      </c>
      <c r="AJ29" s="14" t="str">
        <f>IF(AND('Mapa de Riesgos'!$Z$49="Media",'Mapa de Riesgos'!$AB$49="Catastrófico"),CONCATENATE("R4C",'Mapa de Riesgos'!$P$49),"")</f>
        <v/>
      </c>
      <c r="AK29" s="14" t="str">
        <f>IF(AND('Mapa de Riesgos'!$Z$50="Media",'Mapa de Riesgos'!$AB$50="Catastrófico"),CONCATENATE("R4C",'Mapa de Riesgos'!$P$50),"")</f>
        <v/>
      </c>
      <c r="AL29" s="14" t="str">
        <f>IF(AND('Mapa de Riesgos'!$Z$51="Media",'Mapa de Riesgos'!$AB$51="Catastrófico"),CONCATENATE("R4C",'Mapa de Riesgos'!$P$51),"")</f>
        <v/>
      </c>
      <c r="AM29" s="15" t="str">
        <f>IF(AND('Mapa de Riesgos'!$Z$52="Media",'Mapa de Riesgos'!$AB$52="Catastrófico"),CONCATENATE("R4C",'Mapa de Riesgos'!$P$52),"")</f>
        <v/>
      </c>
      <c r="AN29" s="41"/>
      <c r="AO29" s="468"/>
      <c r="AP29" s="469"/>
      <c r="AQ29" s="469"/>
      <c r="AR29" s="469"/>
      <c r="AS29" s="469"/>
      <c r="AT29" s="470"/>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x14ac:dyDescent="0.25">
      <c r="A30" s="41"/>
      <c r="B30" s="340"/>
      <c r="C30" s="340"/>
      <c r="D30" s="341"/>
      <c r="E30" s="439"/>
      <c r="F30" s="438"/>
      <c r="G30" s="438"/>
      <c r="H30" s="438"/>
      <c r="I30" s="454"/>
      <c r="J30" s="25" t="e">
        <f>IF(AND('Mapa de Riesgos'!#REF!="Media",'Mapa de Riesgos'!#REF!="Leve"),CONCATENATE("R5C",'Mapa de Riesgos'!#REF!),"")</f>
        <v>#REF!</v>
      </c>
      <c r="K30" s="26" t="e">
        <f>IF(AND('Mapa de Riesgos'!#REF!="Media",'Mapa de Riesgos'!#REF!="Leve"),CONCATENATE("R5C",'Mapa de Riesgos'!#REF!),"")</f>
        <v>#REF!</v>
      </c>
      <c r="L30" s="26" t="e">
        <f>IF(AND('Mapa de Riesgos'!#REF!="Media",'Mapa de Riesgos'!#REF!="Leve"),CONCATENATE("R5C",'Mapa de Riesgos'!#REF!),"")</f>
        <v>#REF!</v>
      </c>
      <c r="M30" s="26" t="e">
        <f>IF(AND('Mapa de Riesgos'!#REF!="Media",'Mapa de Riesgos'!#REF!="Leve"),CONCATENATE("R5C",'Mapa de Riesgos'!#REF!),"")</f>
        <v>#REF!</v>
      </c>
      <c r="N30" s="26" t="e">
        <f>IF(AND('Mapa de Riesgos'!#REF!="Media",'Mapa de Riesgos'!#REF!="Leve"),CONCATENATE("R5C",'Mapa de Riesgos'!#REF!),"")</f>
        <v>#REF!</v>
      </c>
      <c r="O30" s="27" t="e">
        <f>IF(AND('Mapa de Riesgos'!#REF!="Media",'Mapa de Riesgos'!#REF!="Leve"),CONCATENATE("R5C",'Mapa de Riesgos'!#REF!),"")</f>
        <v>#REF!</v>
      </c>
      <c r="P30" s="25" t="e">
        <f>IF(AND('Mapa de Riesgos'!#REF!="Media",'Mapa de Riesgos'!#REF!="Menor"),CONCATENATE("R5C",'Mapa de Riesgos'!#REF!),"")</f>
        <v>#REF!</v>
      </c>
      <c r="Q30" s="26" t="e">
        <f>IF(AND('Mapa de Riesgos'!#REF!="Media",'Mapa de Riesgos'!#REF!="Menor"),CONCATENATE("R5C",'Mapa de Riesgos'!#REF!),"")</f>
        <v>#REF!</v>
      </c>
      <c r="R30" s="26" t="e">
        <f>IF(AND('Mapa de Riesgos'!#REF!="Media",'Mapa de Riesgos'!#REF!="Menor"),CONCATENATE("R5C",'Mapa de Riesgos'!#REF!),"")</f>
        <v>#REF!</v>
      </c>
      <c r="S30" s="26" t="e">
        <f>IF(AND('Mapa de Riesgos'!#REF!="Media",'Mapa de Riesgos'!#REF!="Menor"),CONCATENATE("R5C",'Mapa de Riesgos'!#REF!),"")</f>
        <v>#REF!</v>
      </c>
      <c r="T30" s="26" t="e">
        <f>IF(AND('Mapa de Riesgos'!#REF!="Media",'Mapa de Riesgos'!#REF!="Menor"),CONCATENATE("R5C",'Mapa de Riesgos'!#REF!),"")</f>
        <v>#REF!</v>
      </c>
      <c r="U30" s="27" t="e">
        <f>IF(AND('Mapa de Riesgos'!#REF!="Media",'Mapa de Riesgos'!#REF!="Menor"),CONCATENATE("R5C",'Mapa de Riesgos'!#REF!),"")</f>
        <v>#REF!</v>
      </c>
      <c r="V30" s="25" t="e">
        <f>IF(AND('Mapa de Riesgos'!#REF!="Media",'Mapa de Riesgos'!#REF!="Moderado"),CONCATENATE("R5C",'Mapa de Riesgos'!#REF!),"")</f>
        <v>#REF!</v>
      </c>
      <c r="W30" s="26" t="e">
        <f>IF(AND('Mapa de Riesgos'!#REF!="Media",'Mapa de Riesgos'!#REF!="Moderado"),CONCATENATE("R5C",'Mapa de Riesgos'!#REF!),"")</f>
        <v>#REF!</v>
      </c>
      <c r="X30" s="26" t="e">
        <f>IF(AND('Mapa de Riesgos'!#REF!="Media",'Mapa de Riesgos'!#REF!="Moderado"),CONCATENATE("R5C",'Mapa de Riesgos'!#REF!),"")</f>
        <v>#REF!</v>
      </c>
      <c r="Y30" s="26" t="e">
        <f>IF(AND('Mapa de Riesgos'!#REF!="Media",'Mapa de Riesgos'!#REF!="Moderado"),CONCATENATE("R5C",'Mapa de Riesgos'!#REF!),"")</f>
        <v>#REF!</v>
      </c>
      <c r="Z30" s="26" t="e">
        <f>IF(AND('Mapa de Riesgos'!#REF!="Media",'Mapa de Riesgos'!#REF!="Moderado"),CONCATENATE("R5C",'Mapa de Riesgos'!#REF!),"")</f>
        <v>#REF!</v>
      </c>
      <c r="AA30" s="27" t="e">
        <f>IF(AND('Mapa de Riesgos'!#REF!="Media",'Mapa de Riesgos'!#REF!="Moderado"),CONCATENATE("R5C",'Mapa de Riesgos'!#REF!),"")</f>
        <v>#REF!</v>
      </c>
      <c r="AB30" s="10" t="e">
        <f>IF(AND('Mapa de Riesgos'!#REF!="Media",'Mapa de Riesgos'!#REF!="Mayor"),CONCATENATE("R5C",'Mapa de Riesgos'!#REF!),"")</f>
        <v>#REF!</v>
      </c>
      <c r="AC30" s="11" t="e">
        <f>IF(AND('Mapa de Riesgos'!#REF!="Media",'Mapa de Riesgos'!#REF!="Mayor"),CONCATENATE("R5C",'Mapa de Riesgos'!#REF!),"")</f>
        <v>#REF!</v>
      </c>
      <c r="AD30" s="11" t="e">
        <f>IF(AND('Mapa de Riesgos'!#REF!="Media",'Mapa de Riesgos'!#REF!="Mayor"),CONCATENATE("R5C",'Mapa de Riesgos'!#REF!),"")</f>
        <v>#REF!</v>
      </c>
      <c r="AE30" s="11" t="e">
        <f>IF(AND('Mapa de Riesgos'!#REF!="Media",'Mapa de Riesgos'!#REF!="Mayor"),CONCATENATE("R5C",'Mapa de Riesgos'!#REF!),"")</f>
        <v>#REF!</v>
      </c>
      <c r="AF30" s="11" t="e">
        <f>IF(AND('Mapa de Riesgos'!#REF!="Media",'Mapa de Riesgos'!#REF!="Mayor"),CONCATENATE("R5C",'Mapa de Riesgos'!#REF!),"")</f>
        <v>#REF!</v>
      </c>
      <c r="AG30" s="12" t="e">
        <f>IF(AND('Mapa de Riesgos'!#REF!="Media",'Mapa de Riesgos'!#REF!="Mayor"),CONCATENATE("R5C",'Mapa de Riesgos'!#REF!),"")</f>
        <v>#REF!</v>
      </c>
      <c r="AH30" s="13" t="e">
        <f>IF(AND('Mapa de Riesgos'!#REF!="Media",'Mapa de Riesgos'!#REF!="Catastrófico"),CONCATENATE("R5C",'Mapa de Riesgos'!#REF!),"")</f>
        <v>#REF!</v>
      </c>
      <c r="AI30" s="14" t="e">
        <f>IF(AND('Mapa de Riesgos'!#REF!="Media",'Mapa de Riesgos'!#REF!="Catastrófico"),CONCATENATE("R5C",'Mapa de Riesgos'!#REF!),"")</f>
        <v>#REF!</v>
      </c>
      <c r="AJ30" s="14" t="e">
        <f>IF(AND('Mapa de Riesgos'!#REF!="Media",'Mapa de Riesgos'!#REF!="Catastrófico"),CONCATENATE("R5C",'Mapa de Riesgos'!#REF!),"")</f>
        <v>#REF!</v>
      </c>
      <c r="AK30" s="14" t="e">
        <f>IF(AND('Mapa de Riesgos'!#REF!="Media",'Mapa de Riesgos'!#REF!="Catastrófico"),CONCATENATE("R5C",'Mapa de Riesgos'!#REF!),"")</f>
        <v>#REF!</v>
      </c>
      <c r="AL30" s="14" t="e">
        <f>IF(AND('Mapa de Riesgos'!#REF!="Media",'Mapa de Riesgos'!#REF!="Catastrófico"),CONCATENATE("R5C",'Mapa de Riesgos'!#REF!),"")</f>
        <v>#REF!</v>
      </c>
      <c r="AM30" s="15" t="e">
        <f>IF(AND('Mapa de Riesgos'!#REF!="Media",'Mapa de Riesgos'!#REF!="Catastrófico"),CONCATENATE("R5C",'Mapa de Riesgos'!#REF!),"")</f>
        <v>#REF!</v>
      </c>
      <c r="AN30" s="41"/>
      <c r="AO30" s="468"/>
      <c r="AP30" s="469"/>
      <c r="AQ30" s="469"/>
      <c r="AR30" s="469"/>
      <c r="AS30" s="469"/>
      <c r="AT30" s="470"/>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row>
    <row r="31" spans="1:76" ht="15" customHeight="1" x14ac:dyDescent="0.25">
      <c r="A31" s="41"/>
      <c r="B31" s="340"/>
      <c r="C31" s="340"/>
      <c r="D31" s="341"/>
      <c r="E31" s="439"/>
      <c r="F31" s="438"/>
      <c r="G31" s="438"/>
      <c r="H31" s="438"/>
      <c r="I31" s="454"/>
      <c r="J31" s="25" t="str">
        <f>IF(AND('Mapa de Riesgos'!$Z$53="Media",'Mapa de Riesgos'!$AB$53="Leve"),CONCATENATE("R6C",'Mapa de Riesgos'!$P$53),"")</f>
        <v/>
      </c>
      <c r="K31" s="26" t="str">
        <f>IF(AND('Mapa de Riesgos'!$Z$54="Media",'Mapa de Riesgos'!$AB$54="Leve"),CONCATENATE("R6C",'Mapa de Riesgos'!$P$54),"")</f>
        <v/>
      </c>
      <c r="L31" s="26" t="str">
        <f>IF(AND('Mapa de Riesgos'!$Z$55="Media",'Mapa de Riesgos'!$AB$55="Leve"),CONCATENATE("R6C",'Mapa de Riesgos'!$P$55),"")</f>
        <v/>
      </c>
      <c r="M31" s="26" t="str">
        <f>IF(AND('Mapa de Riesgos'!$Z$56="Media",'Mapa de Riesgos'!$AB$56="Leve"),CONCATENATE("R6C",'Mapa de Riesgos'!$P$56),"")</f>
        <v/>
      </c>
      <c r="N31" s="26" t="str">
        <f>IF(AND('Mapa de Riesgos'!$Z$57="Media",'Mapa de Riesgos'!$AB$57="Leve"),CONCATENATE("R6C",'Mapa de Riesgos'!$P$57),"")</f>
        <v/>
      </c>
      <c r="O31" s="27" t="str">
        <f>IF(AND('Mapa de Riesgos'!$Z$58="Media",'Mapa de Riesgos'!$AB$58="Leve"),CONCATENATE("R6C",'Mapa de Riesgos'!$P$58),"")</f>
        <v/>
      </c>
      <c r="P31" s="25" t="str">
        <f>IF(AND('Mapa de Riesgos'!$Z$53="Media",'Mapa de Riesgos'!$AB$53="Menor"),CONCATENATE("R6C",'Mapa de Riesgos'!$P$53),"")</f>
        <v/>
      </c>
      <c r="Q31" s="26" t="str">
        <f>IF(AND('Mapa de Riesgos'!$Z$54="Media",'Mapa de Riesgos'!$AB$54="Menor"),CONCATENATE("R6C",'Mapa de Riesgos'!$P$54),"")</f>
        <v/>
      </c>
      <c r="R31" s="26" t="str">
        <f>IF(AND('Mapa de Riesgos'!$Z$55="Media",'Mapa de Riesgos'!$AB$55="Menor"),CONCATENATE("R6C",'Mapa de Riesgos'!$P$55),"")</f>
        <v/>
      </c>
      <c r="S31" s="26" t="str">
        <f>IF(AND('Mapa de Riesgos'!$Z$56="Media",'Mapa de Riesgos'!$AB$56="Menor"),CONCATENATE("R6C",'Mapa de Riesgos'!$P$56),"")</f>
        <v/>
      </c>
      <c r="T31" s="26" t="str">
        <f>IF(AND('Mapa de Riesgos'!$Z$57="Media",'Mapa de Riesgos'!$AB$57="Menor"),CONCATENATE("R6C",'Mapa de Riesgos'!$P$57),"")</f>
        <v/>
      </c>
      <c r="U31" s="27" t="str">
        <f>IF(AND('Mapa de Riesgos'!$Z$58="Media",'Mapa de Riesgos'!$AB$58="Menor"),CONCATENATE("R6C",'Mapa de Riesgos'!$P$58),"")</f>
        <v/>
      </c>
      <c r="V31" s="25" t="str">
        <f>IF(AND('Mapa de Riesgos'!$Z$53="Media",'Mapa de Riesgos'!$AB$53="Moderado"),CONCATENATE("R6C",'Mapa de Riesgos'!$P$53),"")</f>
        <v/>
      </c>
      <c r="W31" s="26" t="str">
        <f>IF(AND('Mapa de Riesgos'!$Z$54="Media",'Mapa de Riesgos'!$AB$54="Moderado"),CONCATENATE("R6C",'Mapa de Riesgos'!$P$54),"")</f>
        <v/>
      </c>
      <c r="X31" s="26" t="str">
        <f>IF(AND('Mapa de Riesgos'!$Z$55="Media",'Mapa de Riesgos'!$AB$55="Moderado"),CONCATENATE("R6C",'Mapa de Riesgos'!$P$55),"")</f>
        <v/>
      </c>
      <c r="Y31" s="26" t="str">
        <f>IF(AND('Mapa de Riesgos'!$Z$56="Media",'Mapa de Riesgos'!$AB$56="Moderado"),CONCATENATE("R6C",'Mapa de Riesgos'!$P$56),"")</f>
        <v/>
      </c>
      <c r="Z31" s="26" t="str">
        <f>IF(AND('Mapa de Riesgos'!$Z$57="Media",'Mapa de Riesgos'!$AB$57="Moderado"),CONCATENATE("R6C",'Mapa de Riesgos'!$P$57),"")</f>
        <v/>
      </c>
      <c r="AA31" s="27" t="str">
        <f>IF(AND('Mapa de Riesgos'!$Z$58="Media",'Mapa de Riesgos'!$AB$58="Moderado"),CONCATENATE("R6C",'Mapa de Riesgos'!$P$58),"")</f>
        <v/>
      </c>
      <c r="AB31" s="10" t="str">
        <f>IF(AND('Mapa de Riesgos'!$Z$53="Media",'Mapa de Riesgos'!$AB$53="Mayor"),CONCATENATE("R6C",'Mapa de Riesgos'!$P$53),"")</f>
        <v/>
      </c>
      <c r="AC31" s="11" t="str">
        <f>IF(AND('Mapa de Riesgos'!$Z$54="Media",'Mapa de Riesgos'!$AB$54="Mayor"),CONCATENATE("R6C",'Mapa de Riesgos'!$P$54),"")</f>
        <v/>
      </c>
      <c r="AD31" s="11" t="str">
        <f>IF(AND('Mapa de Riesgos'!$Z$55="Media",'Mapa de Riesgos'!$AB$55="Mayor"),CONCATENATE("R6C",'Mapa de Riesgos'!$P$55),"")</f>
        <v/>
      </c>
      <c r="AE31" s="11" t="str">
        <f>IF(AND('Mapa de Riesgos'!$Z$56="Media",'Mapa de Riesgos'!$AB$56="Mayor"),CONCATENATE("R6C",'Mapa de Riesgos'!$P$56),"")</f>
        <v/>
      </c>
      <c r="AF31" s="11" t="str">
        <f>IF(AND('Mapa de Riesgos'!$Z$57="Media",'Mapa de Riesgos'!$AB$57="Mayor"),CONCATENATE("R6C",'Mapa de Riesgos'!$P$57),"")</f>
        <v/>
      </c>
      <c r="AG31" s="12" t="str">
        <f>IF(AND('Mapa de Riesgos'!$Z$58="Media",'Mapa de Riesgos'!$AB$58="Mayor"),CONCATENATE("R6C",'Mapa de Riesgos'!$P$58),"")</f>
        <v/>
      </c>
      <c r="AH31" s="13" t="str">
        <f>IF(AND('Mapa de Riesgos'!$Z$53="Media",'Mapa de Riesgos'!$AB$53="Catastrófico"),CONCATENATE("R6C",'Mapa de Riesgos'!$P$53),"")</f>
        <v/>
      </c>
      <c r="AI31" s="14" t="str">
        <f>IF(AND('Mapa de Riesgos'!$Z$54="Media",'Mapa de Riesgos'!$AB$54="Catastrófico"),CONCATENATE("R6C",'Mapa de Riesgos'!$P$54),"")</f>
        <v/>
      </c>
      <c r="AJ31" s="14" t="str">
        <f>IF(AND('Mapa de Riesgos'!$Z$55="Media",'Mapa de Riesgos'!$AB$55="Catastrófico"),CONCATENATE("R6C",'Mapa de Riesgos'!$P$55),"")</f>
        <v/>
      </c>
      <c r="AK31" s="14" t="str">
        <f>IF(AND('Mapa de Riesgos'!$Z$56="Media",'Mapa de Riesgos'!$AB$56="Catastrófico"),CONCATENATE("R6C",'Mapa de Riesgos'!$P$56),"")</f>
        <v/>
      </c>
      <c r="AL31" s="14" t="str">
        <f>IF(AND('Mapa de Riesgos'!$Z$57="Media",'Mapa de Riesgos'!$AB$57="Catastrófico"),CONCATENATE("R6C",'Mapa de Riesgos'!$P$57),"")</f>
        <v/>
      </c>
      <c r="AM31" s="15" t="str">
        <f>IF(AND('Mapa de Riesgos'!$Z$58="Media",'Mapa de Riesgos'!$AB$58="Catastrófico"),CONCATENATE("R6C",'Mapa de Riesgos'!$P$58),"")</f>
        <v/>
      </c>
      <c r="AN31" s="41"/>
      <c r="AO31" s="468"/>
      <c r="AP31" s="469"/>
      <c r="AQ31" s="469"/>
      <c r="AR31" s="469"/>
      <c r="AS31" s="469"/>
      <c r="AT31" s="470"/>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x14ac:dyDescent="0.25">
      <c r="A32" s="41"/>
      <c r="B32" s="340"/>
      <c r="C32" s="340"/>
      <c r="D32" s="341"/>
      <c r="E32" s="439"/>
      <c r="F32" s="438"/>
      <c r="G32" s="438"/>
      <c r="H32" s="438"/>
      <c r="I32" s="454"/>
      <c r="J32" s="25" t="str">
        <f>IF(AND('Mapa de Riesgos'!$Z$23="Media",'Mapa de Riesgos'!$AB$23="Leve"),CONCATENATE("R7C",'Mapa de Riesgos'!$P$23),"")</f>
        <v/>
      </c>
      <c r="K32" s="26" t="str">
        <f>IF(AND('Mapa de Riesgos'!$Z$24="Media",'Mapa de Riesgos'!$AB$24="Leve"),CONCATENATE("R7C",'Mapa de Riesgos'!$P$24),"")</f>
        <v/>
      </c>
      <c r="L32" s="26" t="str">
        <f>IF(AND('Mapa de Riesgos'!$Z$25="Media",'Mapa de Riesgos'!$AB$25="Leve"),CONCATENATE("R7C",'Mapa de Riesgos'!$P$25),"")</f>
        <v/>
      </c>
      <c r="M32" s="26" t="str">
        <f>IF(AND('Mapa de Riesgos'!$Z$26="Media",'Mapa de Riesgos'!$AB$26="Leve"),CONCATENATE("R7C",'Mapa de Riesgos'!$P$26),"")</f>
        <v/>
      </c>
      <c r="N32" s="26" t="str">
        <f>IF(AND('Mapa de Riesgos'!$Z$27="Media",'Mapa de Riesgos'!$AB$27="Leve"),CONCATENATE("R7C",'Mapa de Riesgos'!$P$27),"")</f>
        <v/>
      </c>
      <c r="O32" s="27" t="str">
        <f>IF(AND('Mapa de Riesgos'!$Z$28="Media",'Mapa de Riesgos'!$AB$28="Leve"),CONCATENATE("R7C",'Mapa de Riesgos'!$P$28),"")</f>
        <v/>
      </c>
      <c r="P32" s="25" t="str">
        <f>IF(AND('Mapa de Riesgos'!$Z$23="Media",'Mapa de Riesgos'!$AB$23="Menor"),CONCATENATE("R7C",'Mapa de Riesgos'!$P$23),"")</f>
        <v/>
      </c>
      <c r="Q32" s="26" t="str">
        <f>IF(AND('Mapa de Riesgos'!$Z$24="Media",'Mapa de Riesgos'!$AB$24="Menor"),CONCATENATE("R7C",'Mapa de Riesgos'!$P$24),"")</f>
        <v/>
      </c>
      <c r="R32" s="26" t="str">
        <f>IF(AND('Mapa de Riesgos'!$Z$25="Media",'Mapa de Riesgos'!$AB$25="Menor"),CONCATENATE("R7C",'Mapa de Riesgos'!$P$25),"")</f>
        <v/>
      </c>
      <c r="S32" s="26" t="str">
        <f>IF(AND('Mapa de Riesgos'!$Z$26="Media",'Mapa de Riesgos'!$AB$26="Menor"),CONCATENATE("R7C",'Mapa de Riesgos'!$P$26),"")</f>
        <v/>
      </c>
      <c r="T32" s="26" t="str">
        <f>IF(AND('Mapa de Riesgos'!$Z$27="Media",'Mapa de Riesgos'!$AB$27="Menor"),CONCATENATE("R7C",'Mapa de Riesgos'!$P$27),"")</f>
        <v/>
      </c>
      <c r="U32" s="27" t="str">
        <f>IF(AND('Mapa de Riesgos'!$Z$28="Media",'Mapa de Riesgos'!$AB$28="Menor"),CONCATENATE("R7C",'Mapa de Riesgos'!$P$28),"")</f>
        <v/>
      </c>
      <c r="V32" s="25" t="str">
        <f>IF(AND('Mapa de Riesgos'!$Z$23="Media",'Mapa de Riesgos'!$AB$23="Moderado"),CONCATENATE("R7C",'Mapa de Riesgos'!$P$23),"")</f>
        <v/>
      </c>
      <c r="W32" s="26" t="str">
        <f>IF(AND('Mapa de Riesgos'!$Z$24="Media",'Mapa de Riesgos'!$AB$24="Moderado"),CONCATENATE("R7C",'Mapa de Riesgos'!$P$24),"")</f>
        <v/>
      </c>
      <c r="X32" s="26" t="str">
        <f>IF(AND('Mapa de Riesgos'!$Z$25="Media",'Mapa de Riesgos'!$AB$25="Moderado"),CONCATENATE("R7C",'Mapa de Riesgos'!$P$25),"")</f>
        <v/>
      </c>
      <c r="Y32" s="26" t="str">
        <f>IF(AND('Mapa de Riesgos'!$Z$26="Media",'Mapa de Riesgos'!$AB$26="Moderado"),CONCATENATE("R7C",'Mapa de Riesgos'!$P$26),"")</f>
        <v/>
      </c>
      <c r="Z32" s="26" t="str">
        <f>IF(AND('Mapa de Riesgos'!$Z$27="Media",'Mapa de Riesgos'!$AB$27="Moderado"),CONCATENATE("R7C",'Mapa de Riesgos'!$P$27),"")</f>
        <v/>
      </c>
      <c r="AA32" s="27" t="str">
        <f>IF(AND('Mapa de Riesgos'!$Z$28="Media",'Mapa de Riesgos'!$AB$28="Moderado"),CONCATENATE("R7C",'Mapa de Riesgos'!$P$28),"")</f>
        <v/>
      </c>
      <c r="AB32" s="10" t="str">
        <f>IF(AND('Mapa de Riesgos'!$Z$23="Media",'Mapa de Riesgos'!$AB$23="Mayor"),CONCATENATE("R7C",'Mapa de Riesgos'!$P$23),"")</f>
        <v/>
      </c>
      <c r="AC32" s="11" t="str">
        <f>IF(AND('Mapa de Riesgos'!$Z$24="Media",'Mapa de Riesgos'!$AB$24="Mayor"),CONCATENATE("R7C",'Mapa de Riesgos'!$P$24),"")</f>
        <v/>
      </c>
      <c r="AD32" s="11" t="str">
        <f>IF(AND('Mapa de Riesgos'!$Z$25="Media",'Mapa de Riesgos'!$AB$25="Mayor"),CONCATENATE("R7C",'Mapa de Riesgos'!$P$25),"")</f>
        <v/>
      </c>
      <c r="AE32" s="11" t="str">
        <f>IF(AND('Mapa de Riesgos'!$Z$26="Media",'Mapa de Riesgos'!$AB$26="Mayor"),CONCATENATE("R7C",'Mapa de Riesgos'!$P$26),"")</f>
        <v/>
      </c>
      <c r="AF32" s="11" t="str">
        <f>IF(AND('Mapa de Riesgos'!$Z$27="Media",'Mapa de Riesgos'!$AB$27="Mayor"),CONCATENATE("R7C",'Mapa de Riesgos'!$P$27),"")</f>
        <v/>
      </c>
      <c r="AG32" s="12" t="str">
        <f>IF(AND('Mapa de Riesgos'!$Z$28="Media",'Mapa de Riesgos'!$AB$28="Mayor"),CONCATENATE("R7C",'Mapa de Riesgos'!$P$28),"")</f>
        <v/>
      </c>
      <c r="AH32" s="13" t="str">
        <f>IF(AND('Mapa de Riesgos'!$Z$23="Media",'Mapa de Riesgos'!$AB$23="Catastrófico"),CONCATENATE("R7C",'Mapa de Riesgos'!$P$23),"")</f>
        <v/>
      </c>
      <c r="AI32" s="14" t="str">
        <f>IF(AND('Mapa de Riesgos'!$Z$24="Media",'Mapa de Riesgos'!$AB$24="Catastrófico"),CONCATENATE("R7C",'Mapa de Riesgos'!$P$24),"")</f>
        <v/>
      </c>
      <c r="AJ32" s="14" t="str">
        <f>IF(AND('Mapa de Riesgos'!$Z$25="Media",'Mapa de Riesgos'!$AB$25="Catastrófico"),CONCATENATE("R7C",'Mapa de Riesgos'!$P$25),"")</f>
        <v/>
      </c>
      <c r="AK32" s="14" t="str">
        <f>IF(AND('Mapa de Riesgos'!$Z$26="Media",'Mapa de Riesgos'!$AB$26="Catastrófico"),CONCATENATE("R7C",'Mapa de Riesgos'!$P$26),"")</f>
        <v/>
      </c>
      <c r="AL32" s="14" t="str">
        <f>IF(AND('Mapa de Riesgos'!$Z$27="Media",'Mapa de Riesgos'!$AB$27="Catastrófico"),CONCATENATE("R7C",'Mapa de Riesgos'!$P$27),"")</f>
        <v/>
      </c>
      <c r="AM32" s="15" t="str">
        <f>IF(AND('Mapa de Riesgos'!$Z$28="Media",'Mapa de Riesgos'!$AB$28="Catastrófico"),CONCATENATE("R7C",'Mapa de Riesgos'!$P$28),"")</f>
        <v/>
      </c>
      <c r="AN32" s="41"/>
      <c r="AO32" s="468"/>
      <c r="AP32" s="469"/>
      <c r="AQ32" s="469"/>
      <c r="AR32" s="469"/>
      <c r="AS32" s="469"/>
      <c r="AT32" s="470"/>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row>
    <row r="33" spans="1:80" ht="15" customHeight="1" x14ac:dyDescent="0.25">
      <c r="A33" s="41"/>
      <c r="B33" s="340"/>
      <c r="C33" s="340"/>
      <c r="D33" s="341"/>
      <c r="E33" s="439"/>
      <c r="F33" s="438"/>
      <c r="G33" s="438"/>
      <c r="H33" s="438"/>
      <c r="I33" s="454"/>
      <c r="J33" s="25" t="str">
        <f>IF(AND('Mapa de Riesgos'!$Z$17="Media",'Mapa de Riesgos'!$AB$17="Leve"),CONCATENATE("R8C",'Mapa de Riesgos'!$P$17),"")</f>
        <v/>
      </c>
      <c r="K33" s="26" t="str">
        <f>IF(AND('Mapa de Riesgos'!$Z$18="Media",'Mapa de Riesgos'!$AB$18="Leve"),CONCATENATE("R8C",'Mapa de Riesgos'!$P$18),"")</f>
        <v/>
      </c>
      <c r="L33" s="26" t="str">
        <f>IF(AND('Mapa de Riesgos'!$Z$19="Media",'Mapa de Riesgos'!$AB$19="Leve"),CONCATENATE("R8C",'Mapa de Riesgos'!$P$19),"")</f>
        <v/>
      </c>
      <c r="M33" s="26" t="str">
        <f>IF(AND('Mapa de Riesgos'!$Z$20="Media",'Mapa de Riesgos'!$AB$20="Leve"),CONCATENATE("R8C",'Mapa de Riesgos'!$P$20),"")</f>
        <v/>
      </c>
      <c r="N33" s="26" t="str">
        <f>IF(AND('Mapa de Riesgos'!$Z$21="Media",'Mapa de Riesgos'!$AB$21="Leve"),CONCATENATE("R8C",'Mapa de Riesgos'!$P$21),"")</f>
        <v/>
      </c>
      <c r="O33" s="27" t="str">
        <f>IF(AND('Mapa de Riesgos'!$Z$22="Media",'Mapa de Riesgos'!$AB$22="Leve"),CONCATENATE("R8C",'Mapa de Riesgos'!$P$22),"")</f>
        <v/>
      </c>
      <c r="P33" s="25" t="str">
        <f>IF(AND('Mapa de Riesgos'!$Z$17="Media",'Mapa de Riesgos'!$AB$17="Menor"),CONCATENATE("R8C",'Mapa de Riesgos'!$P$17),"")</f>
        <v/>
      </c>
      <c r="Q33" s="26" t="str">
        <f>IF(AND('Mapa de Riesgos'!$Z$18="Media",'Mapa de Riesgos'!$AB$18="Menor"),CONCATENATE("R8C",'Mapa de Riesgos'!$P$18),"")</f>
        <v/>
      </c>
      <c r="R33" s="26" t="str">
        <f>IF(AND('Mapa de Riesgos'!$Z$19="Media",'Mapa de Riesgos'!$AB$19="Menor"),CONCATENATE("R8C",'Mapa de Riesgos'!$P$19),"")</f>
        <v/>
      </c>
      <c r="S33" s="26" t="str">
        <f>IF(AND('Mapa de Riesgos'!$Z$20="Media",'Mapa de Riesgos'!$AB$20="Menor"),CONCATENATE("R8C",'Mapa de Riesgos'!$P$20),"")</f>
        <v/>
      </c>
      <c r="T33" s="26" t="str">
        <f>IF(AND('Mapa de Riesgos'!$Z$21="Media",'Mapa de Riesgos'!$AB$21="Menor"),CONCATENATE("R8C",'Mapa de Riesgos'!$P$21),"")</f>
        <v/>
      </c>
      <c r="U33" s="27" t="str">
        <f>IF(AND('Mapa de Riesgos'!$Z$22="Media",'Mapa de Riesgos'!$AB$22="Menor"),CONCATENATE("R8C",'Mapa de Riesgos'!$P$22),"")</f>
        <v/>
      </c>
      <c r="V33" s="25" t="str">
        <f>IF(AND('Mapa de Riesgos'!$Z$17="Media",'Mapa de Riesgos'!$AB$17="Moderado"),CONCATENATE("R8C",'Mapa de Riesgos'!$P$17),"")</f>
        <v/>
      </c>
      <c r="W33" s="26" t="str">
        <f>IF(AND('Mapa de Riesgos'!$Z$18="Media",'Mapa de Riesgos'!$AB$18="Moderado"),CONCATENATE("R8C",'Mapa de Riesgos'!$P$18),"")</f>
        <v/>
      </c>
      <c r="X33" s="26" t="str">
        <f>IF(AND('Mapa de Riesgos'!$Z$19="Media",'Mapa de Riesgos'!$AB$19="Moderado"),CONCATENATE("R8C",'Mapa de Riesgos'!$P$19),"")</f>
        <v/>
      </c>
      <c r="Y33" s="26" t="str">
        <f>IF(AND('Mapa de Riesgos'!$Z$20="Media",'Mapa de Riesgos'!$AB$20="Moderado"),CONCATENATE("R8C",'Mapa de Riesgos'!$P$20),"")</f>
        <v/>
      </c>
      <c r="Z33" s="26" t="str">
        <f>IF(AND('Mapa de Riesgos'!$Z$21="Media",'Mapa de Riesgos'!$AB$21="Moderado"),CONCATENATE("R8C",'Mapa de Riesgos'!$P$21),"")</f>
        <v/>
      </c>
      <c r="AA33" s="27" t="str">
        <f>IF(AND('Mapa de Riesgos'!$Z$22="Media",'Mapa de Riesgos'!$AB$22="Moderado"),CONCATENATE("R8C",'Mapa de Riesgos'!$P$22),"")</f>
        <v/>
      </c>
      <c r="AB33" s="10" t="str">
        <f>IF(AND('Mapa de Riesgos'!$Z$17="Media",'Mapa de Riesgos'!$AB$17="Mayor"),CONCATENATE("R8C",'Mapa de Riesgos'!$P$17),"")</f>
        <v/>
      </c>
      <c r="AC33" s="11" t="str">
        <f>IF(AND('Mapa de Riesgos'!$Z$18="Media",'Mapa de Riesgos'!$AB$18="Mayor"),CONCATENATE("R8C",'Mapa de Riesgos'!$P$18),"")</f>
        <v/>
      </c>
      <c r="AD33" s="11" t="str">
        <f>IF(AND('Mapa de Riesgos'!$Z$19="Media",'Mapa de Riesgos'!$AB$19="Mayor"),CONCATENATE("R8C",'Mapa de Riesgos'!$P$19),"")</f>
        <v/>
      </c>
      <c r="AE33" s="11" t="str">
        <f>IF(AND('Mapa de Riesgos'!$Z$20="Media",'Mapa de Riesgos'!$AB$20="Mayor"),CONCATENATE("R8C",'Mapa de Riesgos'!$P$20),"")</f>
        <v/>
      </c>
      <c r="AF33" s="11" t="str">
        <f>IF(AND('Mapa de Riesgos'!$Z$21="Media",'Mapa de Riesgos'!$AB$21="Mayor"),CONCATENATE("R8C",'Mapa de Riesgos'!$P$21),"")</f>
        <v/>
      </c>
      <c r="AG33" s="12" t="str">
        <f>IF(AND('Mapa de Riesgos'!$Z$22="Media",'Mapa de Riesgos'!$AB$22="Mayor"),CONCATENATE("R8C",'Mapa de Riesgos'!$P$22),"")</f>
        <v/>
      </c>
      <c r="AH33" s="13" t="str">
        <f>IF(AND('Mapa de Riesgos'!$Z$17="Media",'Mapa de Riesgos'!$AB$17="Catastrófico"),CONCATENATE("R8C",'Mapa de Riesgos'!$P$17),"")</f>
        <v/>
      </c>
      <c r="AI33" s="14" t="str">
        <f>IF(AND('Mapa de Riesgos'!$Z$18="Media",'Mapa de Riesgos'!$AB$18="Catastrófico"),CONCATENATE("R8C",'Mapa de Riesgos'!$P$18),"")</f>
        <v/>
      </c>
      <c r="AJ33" s="14" t="str">
        <f>IF(AND('Mapa de Riesgos'!$Z$19="Media",'Mapa de Riesgos'!$AB$19="Catastrófico"),CONCATENATE("R8C",'Mapa de Riesgos'!$P$19),"")</f>
        <v/>
      </c>
      <c r="AK33" s="14" t="str">
        <f>IF(AND('Mapa de Riesgos'!$Z$20="Media",'Mapa de Riesgos'!$AB$20="Catastrófico"),CONCATENATE("R8C",'Mapa de Riesgos'!$P$20),"")</f>
        <v/>
      </c>
      <c r="AL33" s="14" t="str">
        <f>IF(AND('Mapa de Riesgos'!$Z$21="Media",'Mapa de Riesgos'!$AB$21="Catastrófico"),CONCATENATE("R8C",'Mapa de Riesgos'!$P$21),"")</f>
        <v/>
      </c>
      <c r="AM33" s="15" t="str">
        <f>IF(AND('Mapa de Riesgos'!$Z$22="Media",'Mapa de Riesgos'!$AB$22="Catastrófico"),CONCATENATE("R8C",'Mapa de Riesgos'!$P$22),"")</f>
        <v/>
      </c>
      <c r="AN33" s="41"/>
      <c r="AO33" s="468"/>
      <c r="AP33" s="469"/>
      <c r="AQ33" s="469"/>
      <c r="AR33" s="469"/>
      <c r="AS33" s="469"/>
      <c r="AT33" s="470"/>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80" ht="15" customHeight="1" x14ac:dyDescent="0.25">
      <c r="A34" s="41"/>
      <c r="B34" s="340"/>
      <c r="C34" s="340"/>
      <c r="D34" s="341"/>
      <c r="E34" s="439"/>
      <c r="F34" s="438"/>
      <c r="G34" s="438"/>
      <c r="H34" s="438"/>
      <c r="I34" s="454"/>
      <c r="J34" s="25" t="str">
        <f>IF(AND('Mapa de Riesgos'!$Z$59="Media",'Mapa de Riesgos'!$AB$59="Leve"),CONCATENATE("R9C",'Mapa de Riesgos'!$P$59),"")</f>
        <v/>
      </c>
      <c r="K34" s="26" t="str">
        <f>IF(AND('Mapa de Riesgos'!$Z$60="Media",'Mapa de Riesgos'!$AB$60="Leve"),CONCATENATE("R9C",'Mapa de Riesgos'!$P$60),"")</f>
        <v/>
      </c>
      <c r="L34" s="26" t="str">
        <f>IF(AND('Mapa de Riesgos'!$Z$61="Media",'Mapa de Riesgos'!$AB$61="Leve"),CONCATENATE("R9C",'Mapa de Riesgos'!$P$61),"")</f>
        <v/>
      </c>
      <c r="M34" s="26" t="str">
        <f>IF(AND('Mapa de Riesgos'!$Z$62="Media",'Mapa de Riesgos'!$AB$62="Leve"),CONCATENATE("R9C",'Mapa de Riesgos'!$P$62),"")</f>
        <v/>
      </c>
      <c r="N34" s="26" t="str">
        <f>IF(AND('Mapa de Riesgos'!$Z$63="Media",'Mapa de Riesgos'!$AB$63="Leve"),CONCATENATE("R9C",'Mapa de Riesgos'!$P$63),"")</f>
        <v/>
      </c>
      <c r="O34" s="27" t="str">
        <f>IF(AND('Mapa de Riesgos'!$Z$64="Media",'Mapa de Riesgos'!$AB$64="Leve"),CONCATENATE("R9C",'Mapa de Riesgos'!$P$64),"")</f>
        <v/>
      </c>
      <c r="P34" s="25" t="str">
        <f>IF(AND('Mapa de Riesgos'!$Z$59="Media",'Mapa de Riesgos'!$AB$59="Menor"),CONCATENATE("R9C",'Mapa de Riesgos'!$P$59),"")</f>
        <v/>
      </c>
      <c r="Q34" s="26" t="str">
        <f>IF(AND('Mapa de Riesgos'!$Z$60="Media",'Mapa de Riesgos'!$AB$60="Menor"),CONCATENATE("R9C",'Mapa de Riesgos'!$P$60),"")</f>
        <v/>
      </c>
      <c r="R34" s="26" t="str">
        <f>IF(AND('Mapa de Riesgos'!$Z$61="Media",'Mapa de Riesgos'!$AB$61="Menor"),CONCATENATE("R9C",'Mapa de Riesgos'!$P$61),"")</f>
        <v/>
      </c>
      <c r="S34" s="26" t="str">
        <f>IF(AND('Mapa de Riesgos'!$Z$62="Media",'Mapa de Riesgos'!$AB$62="Menor"),CONCATENATE("R9C",'Mapa de Riesgos'!$P$62),"")</f>
        <v/>
      </c>
      <c r="T34" s="26" t="str">
        <f>IF(AND('Mapa de Riesgos'!$Z$63="Media",'Mapa de Riesgos'!$AB$63="Menor"),CONCATENATE("R9C",'Mapa de Riesgos'!$P$63),"")</f>
        <v/>
      </c>
      <c r="U34" s="27" t="str">
        <f>IF(AND('Mapa de Riesgos'!$Z$64="Media",'Mapa de Riesgos'!$AB$64="Menor"),CONCATENATE("R9C",'Mapa de Riesgos'!$P$64),"")</f>
        <v/>
      </c>
      <c r="V34" s="25" t="str">
        <f>IF(AND('Mapa de Riesgos'!$Z$59="Media",'Mapa de Riesgos'!$AB$59="Moderado"),CONCATENATE("R9C",'Mapa de Riesgos'!$P$59),"")</f>
        <v/>
      </c>
      <c r="W34" s="26" t="str">
        <f>IF(AND('Mapa de Riesgos'!$Z$60="Media",'Mapa de Riesgos'!$AB$60="Moderado"),CONCATENATE("R9C",'Mapa de Riesgos'!$P$60),"")</f>
        <v/>
      </c>
      <c r="X34" s="26" t="str">
        <f>IF(AND('Mapa de Riesgos'!$Z$61="Media",'Mapa de Riesgos'!$AB$61="Moderado"),CONCATENATE("R9C",'Mapa de Riesgos'!$P$61),"")</f>
        <v/>
      </c>
      <c r="Y34" s="26" t="str">
        <f>IF(AND('Mapa de Riesgos'!$Z$62="Media",'Mapa de Riesgos'!$AB$62="Moderado"),CONCATENATE("R9C",'Mapa de Riesgos'!$P$62),"")</f>
        <v/>
      </c>
      <c r="Z34" s="26" t="str">
        <f>IF(AND('Mapa de Riesgos'!$Z$63="Media",'Mapa de Riesgos'!$AB$63="Moderado"),CONCATENATE("R9C",'Mapa de Riesgos'!$P$63),"")</f>
        <v/>
      </c>
      <c r="AA34" s="27" t="str">
        <f>IF(AND('Mapa de Riesgos'!$Z$64="Media",'Mapa de Riesgos'!$AB$64="Moderado"),CONCATENATE("R9C",'Mapa de Riesgos'!$P$64),"")</f>
        <v/>
      </c>
      <c r="AB34" s="10" t="str">
        <f>IF(AND('Mapa de Riesgos'!$Z$59="Media",'Mapa de Riesgos'!$AB$59="Mayor"),CONCATENATE("R9C",'Mapa de Riesgos'!$P$59),"")</f>
        <v/>
      </c>
      <c r="AC34" s="11" t="str">
        <f>IF(AND('Mapa de Riesgos'!$Z$60="Media",'Mapa de Riesgos'!$AB$60="Mayor"),CONCATENATE("R9C",'Mapa de Riesgos'!$P$60),"")</f>
        <v/>
      </c>
      <c r="AD34" s="11" t="str">
        <f>IF(AND('Mapa de Riesgos'!$Z$61="Media",'Mapa de Riesgos'!$AB$61="Mayor"),CONCATENATE("R9C",'Mapa de Riesgos'!$P$61),"")</f>
        <v/>
      </c>
      <c r="AE34" s="11" t="str">
        <f>IF(AND('Mapa de Riesgos'!$Z$62="Media",'Mapa de Riesgos'!$AB$62="Mayor"),CONCATENATE("R9C",'Mapa de Riesgos'!$P$62),"")</f>
        <v/>
      </c>
      <c r="AF34" s="11" t="str">
        <f>IF(AND('Mapa de Riesgos'!$Z$63="Media",'Mapa de Riesgos'!$AB$63="Mayor"),CONCATENATE("R9C",'Mapa de Riesgos'!$P$63),"")</f>
        <v/>
      </c>
      <c r="AG34" s="12" t="str">
        <f>IF(AND('Mapa de Riesgos'!$Z$64="Media",'Mapa de Riesgos'!$AB$64="Mayor"),CONCATENATE("R9C",'Mapa de Riesgos'!$P$64),"")</f>
        <v/>
      </c>
      <c r="AH34" s="13" t="str">
        <f>IF(AND('Mapa de Riesgos'!$Z$59="Media",'Mapa de Riesgos'!$AB$59="Catastrófico"),CONCATENATE("R9C",'Mapa de Riesgos'!$P$59),"")</f>
        <v/>
      </c>
      <c r="AI34" s="14" t="str">
        <f>IF(AND('Mapa de Riesgos'!$Z$60="Media",'Mapa de Riesgos'!$AB$60="Catastrófico"),CONCATENATE("R9C",'Mapa de Riesgos'!$P$60),"")</f>
        <v/>
      </c>
      <c r="AJ34" s="14" t="str">
        <f>IF(AND('Mapa de Riesgos'!$Z$61="Media",'Mapa de Riesgos'!$AB$61="Catastrófico"),CONCATENATE("R9C",'Mapa de Riesgos'!$P$61),"")</f>
        <v/>
      </c>
      <c r="AK34" s="14" t="str">
        <f>IF(AND('Mapa de Riesgos'!$Z$62="Media",'Mapa de Riesgos'!$AB$62="Catastrófico"),CONCATENATE("R9C",'Mapa de Riesgos'!$P$62),"")</f>
        <v/>
      </c>
      <c r="AL34" s="14" t="str">
        <f>IF(AND('Mapa de Riesgos'!$Z$63="Media",'Mapa de Riesgos'!$AB$63="Catastrófico"),CONCATENATE("R9C",'Mapa de Riesgos'!$P$63),"")</f>
        <v/>
      </c>
      <c r="AM34" s="15" t="str">
        <f>IF(AND('Mapa de Riesgos'!$Z$64="Media",'Mapa de Riesgos'!$AB$64="Catastrófico"),CONCATENATE("R9C",'Mapa de Riesgos'!$P$64),"")</f>
        <v/>
      </c>
      <c r="AN34" s="41"/>
      <c r="AO34" s="468"/>
      <c r="AP34" s="469"/>
      <c r="AQ34" s="469"/>
      <c r="AR34" s="469"/>
      <c r="AS34" s="469"/>
      <c r="AT34" s="470"/>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80" ht="15.75" customHeight="1" thickBot="1" x14ac:dyDescent="0.3">
      <c r="A35" s="41"/>
      <c r="B35" s="340"/>
      <c r="C35" s="340"/>
      <c r="D35" s="341"/>
      <c r="E35" s="440"/>
      <c r="F35" s="441"/>
      <c r="G35" s="441"/>
      <c r="H35" s="441"/>
      <c r="I35" s="455"/>
      <c r="J35" s="25" t="str">
        <f>IF(AND('Mapa de Riesgos'!$Z$65="Media",'Mapa de Riesgos'!$AB$65="Leve"),CONCATENATE("R10C",'Mapa de Riesgos'!$P$65),"")</f>
        <v/>
      </c>
      <c r="K35" s="26" t="str">
        <f>IF(AND('Mapa de Riesgos'!$Z$66="Media",'Mapa de Riesgos'!$AB$66="Leve"),CONCATENATE("R10C",'Mapa de Riesgos'!$P$66),"")</f>
        <v/>
      </c>
      <c r="L35" s="26" t="str">
        <f>IF(AND('Mapa de Riesgos'!$Z$67="Media",'Mapa de Riesgos'!$AB$67="Leve"),CONCATENATE("R10C",'Mapa de Riesgos'!$P$67),"")</f>
        <v/>
      </c>
      <c r="M35" s="26" t="str">
        <f>IF(AND('Mapa de Riesgos'!$Z$68="Media",'Mapa de Riesgos'!$AB$68="Leve"),CONCATENATE("R10C",'Mapa de Riesgos'!$P$68),"")</f>
        <v/>
      </c>
      <c r="N35" s="26" t="str">
        <f>IF(AND('Mapa de Riesgos'!$Z$69="Media",'Mapa de Riesgos'!$AB$69="Leve"),CONCATENATE("R10C",'Mapa de Riesgos'!$P$69),"")</f>
        <v/>
      </c>
      <c r="O35" s="27" t="str">
        <f>IF(AND('Mapa de Riesgos'!$Z$70="Media",'Mapa de Riesgos'!$AB$70="Leve"),CONCATENATE("R10C",'Mapa de Riesgos'!$P$70),"")</f>
        <v/>
      </c>
      <c r="P35" s="25" t="str">
        <f>IF(AND('Mapa de Riesgos'!$Z$65="Media",'Mapa de Riesgos'!$AB$65="Menor"),CONCATENATE("R10C",'Mapa de Riesgos'!$P$65),"")</f>
        <v/>
      </c>
      <c r="Q35" s="26" t="str">
        <f>IF(AND('Mapa de Riesgos'!$Z$66="Media",'Mapa de Riesgos'!$AB$66="Menor"),CONCATENATE("R10C",'Mapa de Riesgos'!$P$66),"")</f>
        <v/>
      </c>
      <c r="R35" s="26" t="str">
        <f>IF(AND('Mapa de Riesgos'!$Z$67="Media",'Mapa de Riesgos'!$AB$67="Menor"),CONCATENATE("R10C",'Mapa de Riesgos'!$P$67),"")</f>
        <v/>
      </c>
      <c r="S35" s="26" t="str">
        <f>IF(AND('Mapa de Riesgos'!$Z$68="Media",'Mapa de Riesgos'!$AB$68="Menor"),CONCATENATE("R10C",'Mapa de Riesgos'!$P$68),"")</f>
        <v/>
      </c>
      <c r="T35" s="26" t="str">
        <f>IF(AND('Mapa de Riesgos'!$Z$69="Media",'Mapa de Riesgos'!$AB$69="Menor"),CONCATENATE("R10C",'Mapa de Riesgos'!$P$69),"")</f>
        <v/>
      </c>
      <c r="U35" s="27" t="str">
        <f>IF(AND('Mapa de Riesgos'!$Z$70="Media",'Mapa de Riesgos'!$AB$70="Menor"),CONCATENATE("R10C",'Mapa de Riesgos'!$P$70),"")</f>
        <v/>
      </c>
      <c r="V35" s="25" t="str">
        <f>IF(AND('Mapa de Riesgos'!$Z$65="Media",'Mapa de Riesgos'!$AB$65="Moderado"),CONCATENATE("R10C",'Mapa de Riesgos'!$P$65),"")</f>
        <v/>
      </c>
      <c r="W35" s="26" t="str">
        <f>IF(AND('Mapa de Riesgos'!$Z$66="Media",'Mapa de Riesgos'!$AB$66="Moderado"),CONCATENATE("R10C",'Mapa de Riesgos'!$P$66),"")</f>
        <v/>
      </c>
      <c r="X35" s="26" t="str">
        <f>IF(AND('Mapa de Riesgos'!$Z$67="Media",'Mapa de Riesgos'!$AB$67="Moderado"),CONCATENATE("R10C",'Mapa de Riesgos'!$P$67),"")</f>
        <v/>
      </c>
      <c r="Y35" s="26" t="str">
        <f>IF(AND('Mapa de Riesgos'!$Z$68="Media",'Mapa de Riesgos'!$AB$68="Moderado"),CONCATENATE("R10C",'Mapa de Riesgos'!$P$68),"")</f>
        <v/>
      </c>
      <c r="Z35" s="26" t="str">
        <f>IF(AND('Mapa de Riesgos'!$Z$69="Media",'Mapa de Riesgos'!$AB$69="Moderado"),CONCATENATE("R10C",'Mapa de Riesgos'!$P$69),"")</f>
        <v/>
      </c>
      <c r="AA35" s="27" t="str">
        <f>IF(AND('Mapa de Riesgos'!$Z$70="Media",'Mapa de Riesgos'!$AB$70="Moderado"),CONCATENATE("R10C",'Mapa de Riesgos'!$P$70),"")</f>
        <v/>
      </c>
      <c r="AB35" s="16" t="str">
        <f>IF(AND('Mapa de Riesgos'!$Z$65="Media",'Mapa de Riesgos'!$AB$65="Mayor"),CONCATENATE("R10C",'Mapa de Riesgos'!$P$65),"")</f>
        <v/>
      </c>
      <c r="AC35" s="17" t="str">
        <f>IF(AND('Mapa de Riesgos'!$Z$66="Media",'Mapa de Riesgos'!$AB$66="Mayor"),CONCATENATE("R10C",'Mapa de Riesgos'!$P$66),"")</f>
        <v/>
      </c>
      <c r="AD35" s="17" t="str">
        <f>IF(AND('Mapa de Riesgos'!$Z$67="Media",'Mapa de Riesgos'!$AB$67="Mayor"),CONCATENATE("R10C",'Mapa de Riesgos'!$P$67),"")</f>
        <v/>
      </c>
      <c r="AE35" s="17" t="str">
        <f>IF(AND('Mapa de Riesgos'!$Z$68="Media",'Mapa de Riesgos'!$AB$68="Mayor"),CONCATENATE("R10C",'Mapa de Riesgos'!$P$68),"")</f>
        <v/>
      </c>
      <c r="AF35" s="17" t="str">
        <f>IF(AND('Mapa de Riesgos'!$Z$69="Media",'Mapa de Riesgos'!$AB$69="Mayor"),CONCATENATE("R10C",'Mapa de Riesgos'!$P$69),"")</f>
        <v/>
      </c>
      <c r="AG35" s="18" t="str">
        <f>IF(AND('Mapa de Riesgos'!$Z$70="Media",'Mapa de Riesgos'!$AB$70="Mayor"),CONCATENATE("R10C",'Mapa de Riesgos'!$P$70),"")</f>
        <v/>
      </c>
      <c r="AH35" s="19" t="str">
        <f>IF(AND('Mapa de Riesgos'!$Z$65="Media",'Mapa de Riesgos'!$AB$65="Catastrófico"),CONCATENATE("R10C",'Mapa de Riesgos'!$P$65),"")</f>
        <v/>
      </c>
      <c r="AI35" s="20" t="str">
        <f>IF(AND('Mapa de Riesgos'!$Z$66="Media",'Mapa de Riesgos'!$AB$66="Catastrófico"),CONCATENATE("R10C",'Mapa de Riesgos'!$P$66),"")</f>
        <v/>
      </c>
      <c r="AJ35" s="20" t="str">
        <f>IF(AND('Mapa de Riesgos'!$Z$67="Media",'Mapa de Riesgos'!$AB$67="Catastrófico"),CONCATENATE("R10C",'Mapa de Riesgos'!$P$67),"")</f>
        <v/>
      </c>
      <c r="AK35" s="20" t="str">
        <f>IF(AND('Mapa de Riesgos'!$Z$68="Media",'Mapa de Riesgos'!$AB$68="Catastrófico"),CONCATENATE("R10C",'Mapa de Riesgos'!$P$68),"")</f>
        <v/>
      </c>
      <c r="AL35" s="20" t="str">
        <f>IF(AND('Mapa de Riesgos'!$Z$69="Media",'Mapa de Riesgos'!$AB$69="Catastrófico"),CONCATENATE("R10C",'Mapa de Riesgos'!$P$69),"")</f>
        <v/>
      </c>
      <c r="AM35" s="21" t="str">
        <f>IF(AND('Mapa de Riesgos'!$Z$70="Media",'Mapa de Riesgos'!$AB$70="Catastrófico"),CONCATENATE("R10C",'Mapa de Riesgos'!$P$70),"")</f>
        <v/>
      </c>
      <c r="AN35" s="41"/>
      <c r="AO35" s="471"/>
      <c r="AP35" s="472"/>
      <c r="AQ35" s="472"/>
      <c r="AR35" s="472"/>
      <c r="AS35" s="472"/>
      <c r="AT35" s="473"/>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row>
    <row r="36" spans="1:80" ht="15" customHeight="1" x14ac:dyDescent="0.25">
      <c r="A36" s="41"/>
      <c r="B36" s="340"/>
      <c r="C36" s="340"/>
      <c r="D36" s="341"/>
      <c r="E36" s="435" t="s">
        <v>117</v>
      </c>
      <c r="F36" s="436"/>
      <c r="G36" s="436"/>
      <c r="H36" s="436"/>
      <c r="I36" s="436"/>
      <c r="J36" s="31" t="str">
        <f>IF(AND('Mapa de Riesgos'!$Z$11="Baja",'Mapa de Riesgos'!$AB$11="Leve"),CONCATENATE("R1C",'Mapa de Riesgos'!$P$11),"")</f>
        <v/>
      </c>
      <c r="K36" s="32" t="str">
        <f>IF(AND('Mapa de Riesgos'!$Z$12="Baja",'Mapa de Riesgos'!$AB$12="Leve"),CONCATENATE("R1C",'Mapa de Riesgos'!$P$12),"")</f>
        <v/>
      </c>
      <c r="L36" s="32" t="str">
        <f>IF(AND('Mapa de Riesgos'!$Z$13="Baja",'Mapa de Riesgos'!$AB$13="Leve"),CONCATENATE("R1C",'Mapa de Riesgos'!$P$13),"")</f>
        <v/>
      </c>
      <c r="M36" s="32" t="str">
        <f>IF(AND('Mapa de Riesgos'!$Z$14="Baja",'Mapa de Riesgos'!$AB$14="Leve"),CONCATENATE("R1C",'Mapa de Riesgos'!$P$14),"")</f>
        <v/>
      </c>
      <c r="N36" s="32" t="str">
        <f>IF(AND('Mapa de Riesgos'!$Z$15="Baja",'Mapa de Riesgos'!$AB$15="Leve"),CONCATENATE("R1C",'Mapa de Riesgos'!$P$15),"")</f>
        <v/>
      </c>
      <c r="O36" s="33" t="str">
        <f>IF(AND('Mapa de Riesgos'!$Z$16="Baja",'Mapa de Riesgos'!$AB$16="Leve"),CONCATENATE("R1C",'Mapa de Riesgos'!$P$16),"")</f>
        <v/>
      </c>
      <c r="P36" s="22" t="str">
        <f>IF(AND('Mapa de Riesgos'!$Z$11="Baja",'Mapa de Riesgos'!$AB$11="Menor"),CONCATENATE("R1C",'Mapa de Riesgos'!$P$11),"")</f>
        <v/>
      </c>
      <c r="Q36" s="23" t="str">
        <f>IF(AND('Mapa de Riesgos'!$Z$12="Baja",'Mapa de Riesgos'!$AB$12="Menor"),CONCATENATE("R1C",'Mapa de Riesgos'!$P$12),"")</f>
        <v/>
      </c>
      <c r="R36" s="23" t="str">
        <f>IF(AND('Mapa de Riesgos'!$Z$13="Baja",'Mapa de Riesgos'!$AB$13="Menor"),CONCATENATE("R1C",'Mapa de Riesgos'!$P$13),"")</f>
        <v/>
      </c>
      <c r="S36" s="23" t="str">
        <f>IF(AND('Mapa de Riesgos'!$Z$14="Baja",'Mapa de Riesgos'!$AB$14="Menor"),CONCATENATE("R1C",'Mapa de Riesgos'!$P$14),"")</f>
        <v/>
      </c>
      <c r="T36" s="23" t="str">
        <f>IF(AND('Mapa de Riesgos'!$Z$15="Baja",'Mapa de Riesgos'!$AB$15="Menor"),CONCATENATE("R1C",'Mapa de Riesgos'!$P$15),"")</f>
        <v/>
      </c>
      <c r="U36" s="24" t="str">
        <f>IF(AND('Mapa de Riesgos'!$Z$16="Baja",'Mapa de Riesgos'!$AB$16="Menor"),CONCATENATE("R1C",'Mapa de Riesgos'!$P$16),"")</f>
        <v/>
      </c>
      <c r="V36" s="22" t="str">
        <f>IF(AND('Mapa de Riesgos'!$Z$11="Baja",'Mapa de Riesgos'!$AB$11="Moderado"),CONCATENATE("R1C",'Mapa de Riesgos'!$P$11),"")</f>
        <v/>
      </c>
      <c r="W36" s="23" t="str">
        <f>IF(AND('Mapa de Riesgos'!$Z$12="Baja",'Mapa de Riesgos'!$AB$12="Moderado"),CONCATENATE("R1C",'Mapa de Riesgos'!$P$12),"")</f>
        <v/>
      </c>
      <c r="X36" s="23" t="str">
        <f>IF(AND('Mapa de Riesgos'!$Z$13="Baja",'Mapa de Riesgos'!$AB$13="Moderado"),CONCATENATE("R1C",'Mapa de Riesgos'!$P$13),"")</f>
        <v/>
      </c>
      <c r="Y36" s="23" t="str">
        <f>IF(AND('Mapa de Riesgos'!$Z$14="Baja",'Mapa de Riesgos'!$AB$14="Moderado"),CONCATENATE("R1C",'Mapa de Riesgos'!$P$14),"")</f>
        <v/>
      </c>
      <c r="Z36" s="23" t="str">
        <f>IF(AND('Mapa de Riesgos'!$Z$15="Baja",'Mapa de Riesgos'!$AB$15="Moderado"),CONCATENATE("R1C",'Mapa de Riesgos'!$P$15),"")</f>
        <v/>
      </c>
      <c r="AA36" s="24" t="str">
        <f>IF(AND('Mapa de Riesgos'!$Z$16="Baja",'Mapa de Riesgos'!$AB$16="Moderado"),CONCATENATE("R1C",'Mapa de Riesgos'!$P$16),"")</f>
        <v/>
      </c>
      <c r="AB36" s="4" t="str">
        <f>IF(AND('Mapa de Riesgos'!$Z$11="Baja",'Mapa de Riesgos'!$AB$11="Mayor"),CONCATENATE("R1C",'Mapa de Riesgos'!$P$11),"")</f>
        <v/>
      </c>
      <c r="AC36" s="5" t="str">
        <f>IF(AND('Mapa de Riesgos'!$Z$12="Baja",'Mapa de Riesgos'!$AB$12="Mayor"),CONCATENATE("R1C",'Mapa de Riesgos'!$P$12),"")</f>
        <v/>
      </c>
      <c r="AD36" s="5" t="str">
        <f>IF(AND('Mapa de Riesgos'!$Z$13="Baja",'Mapa de Riesgos'!$AB$13="Mayor"),CONCATENATE("R1C",'Mapa de Riesgos'!$P$13),"")</f>
        <v/>
      </c>
      <c r="AE36" s="5" t="str">
        <f>IF(AND('Mapa de Riesgos'!$Z$14="Baja",'Mapa de Riesgos'!$AB$14="Mayor"),CONCATENATE("R1C",'Mapa de Riesgos'!$P$14),"")</f>
        <v/>
      </c>
      <c r="AF36" s="5" t="str">
        <f>IF(AND('Mapa de Riesgos'!$Z$15="Baja",'Mapa de Riesgos'!$AB$15="Mayor"),CONCATENATE("R1C",'Mapa de Riesgos'!$P$15),"")</f>
        <v/>
      </c>
      <c r="AG36" s="6" t="str">
        <f>IF(AND('Mapa de Riesgos'!$Z$16="Baja",'Mapa de Riesgos'!$AB$16="Mayor"),CONCATENATE("R1C",'Mapa de Riesgos'!$P$16),"")</f>
        <v/>
      </c>
      <c r="AH36" s="7" t="str">
        <f>IF(AND('Mapa de Riesgos'!$Z$11="Baja",'Mapa de Riesgos'!$AB$11="Catastrófico"),CONCATENATE("R1C",'Mapa de Riesgos'!$P$11),"")</f>
        <v/>
      </c>
      <c r="AI36" s="8" t="str">
        <f>IF(AND('Mapa de Riesgos'!$Z$12="Baja",'Mapa de Riesgos'!$AB$12="Catastrófico"),CONCATENATE("R1C",'Mapa de Riesgos'!$P$12),"")</f>
        <v/>
      </c>
      <c r="AJ36" s="8" t="str">
        <f>IF(AND('Mapa de Riesgos'!$Z$13="Baja",'Mapa de Riesgos'!$AB$13="Catastrófico"),CONCATENATE("R1C",'Mapa de Riesgos'!$P$13),"")</f>
        <v/>
      </c>
      <c r="AK36" s="8" t="str">
        <f>IF(AND('Mapa de Riesgos'!$Z$14="Baja",'Mapa de Riesgos'!$AB$14="Catastrófico"),CONCATENATE("R1C",'Mapa de Riesgos'!$P$14),"")</f>
        <v/>
      </c>
      <c r="AL36" s="8" t="str">
        <f>IF(AND('Mapa de Riesgos'!$Z$15="Baja",'Mapa de Riesgos'!$AB$15="Catastrófico"),CONCATENATE("R1C",'Mapa de Riesgos'!$P$15),"")</f>
        <v/>
      </c>
      <c r="AM36" s="9" t="str">
        <f>IF(AND('Mapa de Riesgos'!$Z$16="Baja",'Mapa de Riesgos'!$AB$16="Catastrófico"),CONCATENATE("R1C",'Mapa de Riesgos'!$P$16),"")</f>
        <v/>
      </c>
      <c r="AN36" s="41"/>
      <c r="AO36" s="456" t="s">
        <v>118</v>
      </c>
      <c r="AP36" s="457"/>
      <c r="AQ36" s="457"/>
      <c r="AR36" s="457"/>
      <c r="AS36" s="457"/>
      <c r="AT36" s="458"/>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row>
    <row r="37" spans="1:80" ht="15" customHeight="1" x14ac:dyDescent="0.25">
      <c r="A37" s="41"/>
      <c r="B37" s="340"/>
      <c r="C37" s="340"/>
      <c r="D37" s="341"/>
      <c r="E37" s="437"/>
      <c r="F37" s="438"/>
      <c r="G37" s="438"/>
      <c r="H37" s="438"/>
      <c r="I37" s="438"/>
      <c r="J37" s="34" t="str">
        <f>IF(AND('Mapa de Riesgos'!$Z$29="Baja",'Mapa de Riesgos'!$AB$29="Leve"),CONCATENATE("R2C",'Mapa de Riesgos'!$P$29),"")</f>
        <v/>
      </c>
      <c r="K37" s="35" t="str">
        <f>IF(AND('Mapa de Riesgos'!$Z$30="Baja",'Mapa de Riesgos'!$AB$30="Leve"),CONCATENATE("R2C",'Mapa de Riesgos'!$P$30),"")</f>
        <v/>
      </c>
      <c r="L37" s="35" t="str">
        <f>IF(AND('Mapa de Riesgos'!$Z$31="Baja",'Mapa de Riesgos'!$AB$31="Leve"),CONCATENATE("R2C",'Mapa de Riesgos'!$P$31),"")</f>
        <v/>
      </c>
      <c r="M37" s="35" t="str">
        <f>IF(AND('Mapa de Riesgos'!$Z$32="Baja",'Mapa de Riesgos'!$AB$32="Leve"),CONCATENATE("R2C",'Mapa de Riesgos'!$P$32),"")</f>
        <v/>
      </c>
      <c r="N37" s="35" t="str">
        <f>IF(AND('Mapa de Riesgos'!$Z$33="Baja",'Mapa de Riesgos'!$AB$33="Leve"),CONCATENATE("R2C",'Mapa de Riesgos'!$P$33),"")</f>
        <v/>
      </c>
      <c r="O37" s="36" t="str">
        <f>IF(AND('Mapa de Riesgos'!$Z$34="Baja",'Mapa de Riesgos'!$AB$34="Leve"),CONCATENATE("R2C",'Mapa de Riesgos'!$P$34),"")</f>
        <v/>
      </c>
      <c r="P37" s="25" t="str">
        <f>IF(AND('Mapa de Riesgos'!$Z$29="Baja",'Mapa de Riesgos'!$AB$29="Menor"),CONCATENATE("R2C",'Mapa de Riesgos'!$P$29),"")</f>
        <v/>
      </c>
      <c r="Q37" s="26" t="str">
        <f>IF(AND('Mapa de Riesgos'!$Z$30="Baja",'Mapa de Riesgos'!$AB$30="Menor"),CONCATENATE("R2C",'Mapa de Riesgos'!$P$30),"")</f>
        <v/>
      </c>
      <c r="R37" s="26" t="str">
        <f>IF(AND('Mapa de Riesgos'!$Z$31="Baja",'Mapa de Riesgos'!$AB$31="Menor"),CONCATENATE("R2C",'Mapa de Riesgos'!$P$31),"")</f>
        <v/>
      </c>
      <c r="S37" s="26" t="str">
        <f>IF(AND('Mapa de Riesgos'!$Z$32="Baja",'Mapa de Riesgos'!$AB$32="Menor"),CONCATENATE("R2C",'Mapa de Riesgos'!$P$32),"")</f>
        <v/>
      </c>
      <c r="T37" s="26" t="str">
        <f>IF(AND('Mapa de Riesgos'!$Z$33="Baja",'Mapa de Riesgos'!$AB$33="Menor"),CONCATENATE("R2C",'Mapa de Riesgos'!$P$33),"")</f>
        <v/>
      </c>
      <c r="U37" s="27" t="str">
        <f>IF(AND('Mapa de Riesgos'!$Z$34="Baja",'Mapa de Riesgos'!$AB$34="Menor"),CONCATENATE("R2C",'Mapa de Riesgos'!$P$34),"")</f>
        <v/>
      </c>
      <c r="V37" s="25" t="str">
        <f>IF(AND('Mapa de Riesgos'!$Z$29="Baja",'Mapa de Riesgos'!$AB$29="Moderado"),CONCATENATE("R2C",'Mapa de Riesgos'!$P$29),"")</f>
        <v/>
      </c>
      <c r="W37" s="26" t="str">
        <f>IF(AND('Mapa de Riesgos'!$Z$30="Baja",'Mapa de Riesgos'!$AB$30="Moderado"),CONCATENATE("R2C",'Mapa de Riesgos'!$P$30),"")</f>
        <v/>
      </c>
      <c r="X37" s="26" t="str">
        <f>IF(AND('Mapa de Riesgos'!$Z$31="Baja",'Mapa de Riesgos'!$AB$31="Moderado"),CONCATENATE("R2C",'Mapa de Riesgos'!$P$31),"")</f>
        <v/>
      </c>
      <c r="Y37" s="26" t="str">
        <f>IF(AND('Mapa de Riesgos'!$Z$32="Baja",'Mapa de Riesgos'!$AB$32="Moderado"),CONCATENATE("R2C",'Mapa de Riesgos'!$P$32),"")</f>
        <v/>
      </c>
      <c r="Z37" s="26" t="str">
        <f>IF(AND('Mapa de Riesgos'!$Z$33="Baja",'Mapa de Riesgos'!$AB$33="Moderado"),CONCATENATE("R2C",'Mapa de Riesgos'!$P$33),"")</f>
        <v/>
      </c>
      <c r="AA37" s="27" t="str">
        <f>IF(AND('Mapa de Riesgos'!$Z$34="Baja",'Mapa de Riesgos'!$AB$34="Moderado"),CONCATENATE("R2C",'Mapa de Riesgos'!$P$34),"")</f>
        <v/>
      </c>
      <c r="AB37" s="10" t="str">
        <f>IF(AND('Mapa de Riesgos'!$Z$29="Baja",'Mapa de Riesgos'!$AB$29="Mayor"),CONCATENATE("R2C",'Mapa de Riesgos'!$P$29),"")</f>
        <v/>
      </c>
      <c r="AC37" s="11" t="str">
        <f>IF(AND('Mapa de Riesgos'!$Z$30="Baja",'Mapa de Riesgos'!$AB$30="Mayor"),CONCATENATE("R2C",'Mapa de Riesgos'!$P$30),"")</f>
        <v/>
      </c>
      <c r="AD37" s="11" t="str">
        <f>IF(AND('Mapa de Riesgos'!$Z$31="Baja",'Mapa de Riesgos'!$AB$31="Mayor"),CONCATENATE("R2C",'Mapa de Riesgos'!$P$31),"")</f>
        <v/>
      </c>
      <c r="AE37" s="11" t="str">
        <f>IF(AND('Mapa de Riesgos'!$Z$32="Baja",'Mapa de Riesgos'!$AB$32="Mayor"),CONCATENATE("R2C",'Mapa de Riesgos'!$P$32),"")</f>
        <v/>
      </c>
      <c r="AF37" s="11" t="str">
        <f>IF(AND('Mapa de Riesgos'!$Z$33="Baja",'Mapa de Riesgos'!$AB$33="Mayor"),CONCATENATE("R2C",'Mapa de Riesgos'!$P$33),"")</f>
        <v/>
      </c>
      <c r="AG37" s="12" t="str">
        <f>IF(AND('Mapa de Riesgos'!$Z$34="Baja",'Mapa de Riesgos'!$AB$34="Mayor"),CONCATENATE("R2C",'Mapa de Riesgos'!$P$34),"")</f>
        <v/>
      </c>
      <c r="AH37" s="13" t="str">
        <f>IF(AND('Mapa de Riesgos'!$Z$29="Baja",'Mapa de Riesgos'!$AB$29="Catastrófico"),CONCATENATE("R2C",'Mapa de Riesgos'!$P$29),"")</f>
        <v/>
      </c>
      <c r="AI37" s="14" t="str">
        <f>IF(AND('Mapa de Riesgos'!$Z$30="Baja",'Mapa de Riesgos'!$AB$30="Catastrófico"),CONCATENATE("R2C",'Mapa de Riesgos'!$P$30),"")</f>
        <v/>
      </c>
      <c r="AJ37" s="14" t="str">
        <f>IF(AND('Mapa de Riesgos'!$Z$31="Baja",'Mapa de Riesgos'!$AB$31="Catastrófico"),CONCATENATE("R2C",'Mapa de Riesgos'!$P$31),"")</f>
        <v/>
      </c>
      <c r="AK37" s="14" t="str">
        <f>IF(AND('Mapa de Riesgos'!$Z$32="Baja",'Mapa de Riesgos'!$AB$32="Catastrófico"),CONCATENATE("R2C",'Mapa de Riesgos'!$P$32),"")</f>
        <v/>
      </c>
      <c r="AL37" s="14" t="str">
        <f>IF(AND('Mapa de Riesgos'!$Z$33="Baja",'Mapa de Riesgos'!$AB$33="Catastrófico"),CONCATENATE("R2C",'Mapa de Riesgos'!$P$33),"")</f>
        <v/>
      </c>
      <c r="AM37" s="15" t="str">
        <f>IF(AND('Mapa de Riesgos'!$Z$34="Baja",'Mapa de Riesgos'!$AB$34="Catastrófico"),CONCATENATE("R2C",'Mapa de Riesgos'!$P$34),"")</f>
        <v/>
      </c>
      <c r="AN37" s="41"/>
      <c r="AO37" s="459"/>
      <c r="AP37" s="460"/>
      <c r="AQ37" s="460"/>
      <c r="AR37" s="460"/>
      <c r="AS37" s="460"/>
      <c r="AT37" s="46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row>
    <row r="38" spans="1:80" ht="15" customHeight="1" x14ac:dyDescent="0.25">
      <c r="A38" s="41"/>
      <c r="B38" s="340"/>
      <c r="C38" s="340"/>
      <c r="D38" s="341"/>
      <c r="E38" s="439"/>
      <c r="F38" s="438"/>
      <c r="G38" s="438"/>
      <c r="H38" s="438"/>
      <c r="I38" s="438"/>
      <c r="J38" s="34" t="str">
        <f>IF(AND('Mapa de Riesgos'!$Z$35="Baja",'Mapa de Riesgos'!$AB$35="Leve"),CONCATENATE("R3C",'Mapa de Riesgos'!$P$35),"")</f>
        <v/>
      </c>
      <c r="K38" s="35" t="str">
        <f>IF(AND('Mapa de Riesgos'!$Z$36="Baja",'Mapa de Riesgos'!$AB$36="Leve"),CONCATENATE("R3C",'Mapa de Riesgos'!$P$36),"")</f>
        <v/>
      </c>
      <c r="L38" s="35" t="str">
        <f>IF(AND('Mapa de Riesgos'!$Z$37="Baja",'Mapa de Riesgos'!$AB$37="Leve"),CONCATENATE("R3C",'Mapa de Riesgos'!$P$37),"")</f>
        <v/>
      </c>
      <c r="M38" s="35" t="str">
        <f>IF(AND('Mapa de Riesgos'!$Z$38="Baja",'Mapa de Riesgos'!$AB$38="Leve"),CONCATENATE("R3C",'Mapa de Riesgos'!$P$38),"")</f>
        <v/>
      </c>
      <c r="N38" s="35" t="str">
        <f>IF(AND('Mapa de Riesgos'!$Z$39="Baja",'Mapa de Riesgos'!$AB$39="Leve"),CONCATENATE("R3C",'Mapa de Riesgos'!$P$39),"")</f>
        <v/>
      </c>
      <c r="O38" s="36" t="str">
        <f>IF(AND('Mapa de Riesgos'!$Z$40="Baja",'Mapa de Riesgos'!$AB$40="Leve"),CONCATENATE("R3C",'Mapa de Riesgos'!$P$40),"")</f>
        <v/>
      </c>
      <c r="P38" s="25" t="str">
        <f>IF(AND('Mapa de Riesgos'!$Z$35="Baja",'Mapa de Riesgos'!$AB$35="Menor"),CONCATENATE("R3C",'Mapa de Riesgos'!$P$35),"")</f>
        <v/>
      </c>
      <c r="Q38" s="26" t="str">
        <f>IF(AND('Mapa de Riesgos'!$Z$36="Baja",'Mapa de Riesgos'!$AB$36="Menor"),CONCATENATE("R3C",'Mapa de Riesgos'!$P$36),"")</f>
        <v/>
      </c>
      <c r="R38" s="26" t="str">
        <f>IF(AND('Mapa de Riesgos'!$Z$37="Baja",'Mapa de Riesgos'!$AB$37="Menor"),CONCATENATE("R3C",'Mapa de Riesgos'!$P$37),"")</f>
        <v/>
      </c>
      <c r="S38" s="26" t="str">
        <f>IF(AND('Mapa de Riesgos'!$Z$38="Baja",'Mapa de Riesgos'!$AB$38="Menor"),CONCATENATE("R3C",'Mapa de Riesgos'!$P$38),"")</f>
        <v/>
      </c>
      <c r="T38" s="26" t="str">
        <f>IF(AND('Mapa de Riesgos'!$Z$39="Baja",'Mapa de Riesgos'!$AB$39="Menor"),CONCATENATE("R3C",'Mapa de Riesgos'!$P$39),"")</f>
        <v/>
      </c>
      <c r="U38" s="27" t="str">
        <f>IF(AND('Mapa de Riesgos'!$Z$40="Baja",'Mapa de Riesgos'!$AB$40="Menor"),CONCATENATE("R3C",'Mapa de Riesgos'!$P$40),"")</f>
        <v/>
      </c>
      <c r="V38" s="25" t="str">
        <f>IF(AND('Mapa de Riesgos'!$Z$35="Baja",'Mapa de Riesgos'!$AB$35="Moderado"),CONCATENATE("R3C",'Mapa de Riesgos'!$P$35),"")</f>
        <v/>
      </c>
      <c r="W38" s="26" t="str">
        <f>IF(AND('Mapa de Riesgos'!$Z$36="Baja",'Mapa de Riesgos'!$AB$36="Moderado"),CONCATENATE("R3C",'Mapa de Riesgos'!$P$36),"")</f>
        <v/>
      </c>
      <c r="X38" s="26" t="str">
        <f>IF(AND('Mapa de Riesgos'!$Z$37="Baja",'Mapa de Riesgos'!$AB$37="Moderado"),CONCATENATE("R3C",'Mapa de Riesgos'!$P$37),"")</f>
        <v/>
      </c>
      <c r="Y38" s="26" t="str">
        <f>IF(AND('Mapa de Riesgos'!$Z$38="Baja",'Mapa de Riesgos'!$AB$38="Moderado"),CONCATENATE("R3C",'Mapa de Riesgos'!$P$38),"")</f>
        <v/>
      </c>
      <c r="Z38" s="26" t="str">
        <f>IF(AND('Mapa de Riesgos'!$Z$39="Baja",'Mapa de Riesgos'!$AB$39="Moderado"),CONCATENATE("R3C",'Mapa de Riesgos'!$P$39),"")</f>
        <v/>
      </c>
      <c r="AA38" s="27" t="str">
        <f>IF(AND('Mapa de Riesgos'!$Z$40="Baja",'Mapa de Riesgos'!$AB$40="Moderado"),CONCATENATE("R3C",'Mapa de Riesgos'!$P$40),"")</f>
        <v/>
      </c>
      <c r="AB38" s="10" t="str">
        <f>IF(AND('Mapa de Riesgos'!$Z$35="Baja",'Mapa de Riesgos'!$AB$35="Mayor"),CONCATENATE("R3C",'Mapa de Riesgos'!$P$35),"")</f>
        <v/>
      </c>
      <c r="AC38" s="11" t="str">
        <f>IF(AND('Mapa de Riesgos'!$Z$36="Baja",'Mapa de Riesgos'!$AB$36="Mayor"),CONCATENATE("R3C",'Mapa de Riesgos'!$P$36),"")</f>
        <v/>
      </c>
      <c r="AD38" s="11" t="str">
        <f>IF(AND('Mapa de Riesgos'!$Z$37="Baja",'Mapa de Riesgos'!$AB$37="Mayor"),CONCATENATE("R3C",'Mapa de Riesgos'!$P$37),"")</f>
        <v/>
      </c>
      <c r="AE38" s="11" t="str">
        <f>IF(AND('Mapa de Riesgos'!$Z$38="Baja",'Mapa de Riesgos'!$AB$38="Mayor"),CONCATENATE("R3C",'Mapa de Riesgos'!$P$38),"")</f>
        <v/>
      </c>
      <c r="AF38" s="11" t="str">
        <f>IF(AND('Mapa de Riesgos'!$Z$39="Baja",'Mapa de Riesgos'!$AB$39="Mayor"),CONCATENATE("R3C",'Mapa de Riesgos'!$P$39),"")</f>
        <v/>
      </c>
      <c r="AG38" s="12" t="str">
        <f>IF(AND('Mapa de Riesgos'!$Z$40="Baja",'Mapa de Riesgos'!$AB$40="Mayor"),CONCATENATE("R3C",'Mapa de Riesgos'!$P$40),"")</f>
        <v/>
      </c>
      <c r="AH38" s="13" t="str">
        <f>IF(AND('Mapa de Riesgos'!$Z$35="Baja",'Mapa de Riesgos'!$AB$35="Catastrófico"),CONCATENATE("R3C",'Mapa de Riesgos'!$P$35),"")</f>
        <v/>
      </c>
      <c r="AI38" s="14" t="str">
        <f>IF(AND('Mapa de Riesgos'!$Z$36="Baja",'Mapa de Riesgos'!$AB$36="Catastrófico"),CONCATENATE("R3C",'Mapa de Riesgos'!$P$36),"")</f>
        <v/>
      </c>
      <c r="AJ38" s="14" t="str">
        <f>IF(AND('Mapa de Riesgos'!$Z$37="Baja",'Mapa de Riesgos'!$AB$37="Catastrófico"),CONCATENATE("R3C",'Mapa de Riesgos'!$P$37),"")</f>
        <v/>
      </c>
      <c r="AK38" s="14" t="str">
        <f>IF(AND('Mapa de Riesgos'!$Z$38="Baja",'Mapa de Riesgos'!$AB$38="Catastrófico"),CONCATENATE("R3C",'Mapa de Riesgos'!$P$38),"")</f>
        <v/>
      </c>
      <c r="AL38" s="14" t="str">
        <f>IF(AND('Mapa de Riesgos'!$Z$39="Baja",'Mapa de Riesgos'!$AB$39="Catastrófico"),CONCATENATE("R3C",'Mapa de Riesgos'!$P$39),"")</f>
        <v/>
      </c>
      <c r="AM38" s="15" t="str">
        <f>IF(AND('Mapa de Riesgos'!$Z$40="Baja",'Mapa de Riesgos'!$AB$40="Catastrófico"),CONCATENATE("R3C",'Mapa de Riesgos'!$P$40),"")</f>
        <v/>
      </c>
      <c r="AN38" s="41"/>
      <c r="AO38" s="459"/>
      <c r="AP38" s="460"/>
      <c r="AQ38" s="460"/>
      <c r="AR38" s="460"/>
      <c r="AS38" s="460"/>
      <c r="AT38" s="46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1:80" ht="15" customHeight="1" x14ac:dyDescent="0.25">
      <c r="A39" s="41"/>
      <c r="B39" s="340"/>
      <c r="C39" s="340"/>
      <c r="D39" s="341"/>
      <c r="E39" s="439"/>
      <c r="F39" s="438"/>
      <c r="G39" s="438"/>
      <c r="H39" s="438"/>
      <c r="I39" s="438"/>
      <c r="J39" s="34" t="str">
        <f>IF(AND('Mapa de Riesgos'!$Z$47="Baja",'Mapa de Riesgos'!$AB$47="Leve"),CONCATENATE("R4C",'Mapa de Riesgos'!$P$47),"")</f>
        <v/>
      </c>
      <c r="K39" s="35" t="str">
        <f>IF(AND('Mapa de Riesgos'!$Z$48="Baja",'Mapa de Riesgos'!$AB$48="Leve"),CONCATENATE("R4C",'Mapa de Riesgos'!$P$48),"")</f>
        <v/>
      </c>
      <c r="L39" s="35" t="str">
        <f>IF(AND('Mapa de Riesgos'!$Z$49="Baja",'Mapa de Riesgos'!$AB$49="Leve"),CONCATENATE("R4C",'Mapa de Riesgos'!$P$49),"")</f>
        <v/>
      </c>
      <c r="M39" s="35" t="str">
        <f>IF(AND('Mapa de Riesgos'!$Z$50="Baja",'Mapa de Riesgos'!$AB$50="Leve"),CONCATENATE("R4C",'Mapa de Riesgos'!$P$50),"")</f>
        <v/>
      </c>
      <c r="N39" s="35" t="str">
        <f>IF(AND('Mapa de Riesgos'!$Z$51="Baja",'Mapa de Riesgos'!$AB$51="Leve"),CONCATENATE("R4C",'Mapa de Riesgos'!$P$51),"")</f>
        <v/>
      </c>
      <c r="O39" s="36" t="str">
        <f>IF(AND('Mapa de Riesgos'!$Z$52="Baja",'Mapa de Riesgos'!$AB$52="Leve"),CONCATENATE("R4C",'Mapa de Riesgos'!$P$52),"")</f>
        <v/>
      </c>
      <c r="P39" s="25" t="str">
        <f>IF(AND('Mapa de Riesgos'!$Z$47="Baja",'Mapa de Riesgos'!$AB$47="Menor"),CONCATENATE("R4C",'Mapa de Riesgos'!$P$47),"")</f>
        <v/>
      </c>
      <c r="Q39" s="26" t="str">
        <f>IF(AND('Mapa de Riesgos'!$Z$48="Baja",'Mapa de Riesgos'!$AB$48="Menor"),CONCATENATE("R4C",'Mapa de Riesgos'!$P$48),"")</f>
        <v/>
      </c>
      <c r="R39" s="26" t="str">
        <f>IF(AND('Mapa de Riesgos'!$Z$49="Baja",'Mapa de Riesgos'!$AB$49="Menor"),CONCATENATE("R4C",'Mapa de Riesgos'!$P$49),"")</f>
        <v/>
      </c>
      <c r="S39" s="26" t="str">
        <f>IF(AND('Mapa de Riesgos'!$Z$50="Baja",'Mapa de Riesgos'!$AB$50="Menor"),CONCATENATE("R4C",'Mapa de Riesgos'!$P$50),"")</f>
        <v/>
      </c>
      <c r="T39" s="26" t="str">
        <f>IF(AND('Mapa de Riesgos'!$Z$51="Baja",'Mapa de Riesgos'!$AB$51="Menor"),CONCATENATE("R4C",'Mapa de Riesgos'!$P$51),"")</f>
        <v/>
      </c>
      <c r="U39" s="27" t="str">
        <f>IF(AND('Mapa de Riesgos'!$Z$52="Baja",'Mapa de Riesgos'!$AB$52="Menor"),CONCATENATE("R4C",'Mapa de Riesgos'!$P$52),"")</f>
        <v/>
      </c>
      <c r="V39" s="25" t="str">
        <f>IF(AND('Mapa de Riesgos'!$Z$47="Baja",'Mapa de Riesgos'!$AB$47="Moderado"),CONCATENATE("R4C",'Mapa de Riesgos'!$P$47),"")</f>
        <v/>
      </c>
      <c r="W39" s="26" t="str">
        <f>IF(AND('Mapa de Riesgos'!$Z$48="Baja",'Mapa de Riesgos'!$AB$48="Moderado"),CONCATENATE("R4C",'Mapa de Riesgos'!$P$48),"")</f>
        <v/>
      </c>
      <c r="X39" s="26" t="str">
        <f>IF(AND('Mapa de Riesgos'!$Z$49="Baja",'Mapa de Riesgos'!$AB$49="Moderado"),CONCATENATE("R4C",'Mapa de Riesgos'!$P$49),"")</f>
        <v/>
      </c>
      <c r="Y39" s="26" t="str">
        <f>IF(AND('Mapa de Riesgos'!$Z$50="Baja",'Mapa de Riesgos'!$AB$50="Moderado"),CONCATENATE("R4C",'Mapa de Riesgos'!$P$50),"")</f>
        <v/>
      </c>
      <c r="Z39" s="26" t="str">
        <f>IF(AND('Mapa de Riesgos'!$Z$51="Baja",'Mapa de Riesgos'!$AB$51="Moderado"),CONCATENATE("R4C",'Mapa de Riesgos'!$P$51),"")</f>
        <v/>
      </c>
      <c r="AA39" s="27" t="str">
        <f>IF(AND('Mapa de Riesgos'!$Z$52="Baja",'Mapa de Riesgos'!$AB$52="Moderado"),CONCATENATE("R4C",'Mapa de Riesgos'!$P$52),"")</f>
        <v/>
      </c>
      <c r="AB39" s="10" t="str">
        <f>IF(AND('Mapa de Riesgos'!$Z$47="Baja",'Mapa de Riesgos'!$AB$47="Mayor"),CONCATENATE("R4C",'Mapa de Riesgos'!$P$47),"")</f>
        <v/>
      </c>
      <c r="AC39" s="11" t="str">
        <f>IF(AND('Mapa de Riesgos'!$Z$48="Baja",'Mapa de Riesgos'!$AB$48="Mayor"),CONCATENATE("R4C",'Mapa de Riesgos'!$P$48),"")</f>
        <v/>
      </c>
      <c r="AD39" s="11" t="str">
        <f>IF(AND('Mapa de Riesgos'!$Z$49="Baja",'Mapa de Riesgos'!$AB$49="Mayor"),CONCATENATE("R4C",'Mapa de Riesgos'!$P$49),"")</f>
        <v/>
      </c>
      <c r="AE39" s="11" t="str">
        <f>IF(AND('Mapa de Riesgos'!$Z$50="Baja",'Mapa de Riesgos'!$AB$50="Mayor"),CONCATENATE("R4C",'Mapa de Riesgos'!$P$50),"")</f>
        <v/>
      </c>
      <c r="AF39" s="11" t="str">
        <f>IF(AND('Mapa de Riesgos'!$Z$51="Baja",'Mapa de Riesgos'!$AB$51="Mayor"),CONCATENATE("R4C",'Mapa de Riesgos'!$P$51),"")</f>
        <v/>
      </c>
      <c r="AG39" s="12" t="str">
        <f>IF(AND('Mapa de Riesgos'!$Z$52="Baja",'Mapa de Riesgos'!$AB$52="Mayor"),CONCATENATE("R4C",'Mapa de Riesgos'!$P$52),"")</f>
        <v/>
      </c>
      <c r="AH39" s="13" t="str">
        <f>IF(AND('Mapa de Riesgos'!$Z$47="Baja",'Mapa de Riesgos'!$AB$47="Catastrófico"),CONCATENATE("R4C",'Mapa de Riesgos'!$P$47),"")</f>
        <v/>
      </c>
      <c r="AI39" s="14" t="str">
        <f>IF(AND('Mapa de Riesgos'!$Z$48="Baja",'Mapa de Riesgos'!$AB$48="Catastrófico"),CONCATENATE("R4C",'Mapa de Riesgos'!$P$48),"")</f>
        <v/>
      </c>
      <c r="AJ39" s="14" t="str">
        <f>IF(AND('Mapa de Riesgos'!$Z$49="Baja",'Mapa de Riesgos'!$AB$49="Catastrófico"),CONCATENATE("R4C",'Mapa de Riesgos'!$P$49),"")</f>
        <v/>
      </c>
      <c r="AK39" s="14" t="str">
        <f>IF(AND('Mapa de Riesgos'!$Z$50="Baja",'Mapa de Riesgos'!$AB$50="Catastrófico"),CONCATENATE("R4C",'Mapa de Riesgos'!$P$50),"")</f>
        <v/>
      </c>
      <c r="AL39" s="14" t="str">
        <f>IF(AND('Mapa de Riesgos'!$Z$51="Baja",'Mapa de Riesgos'!$AB$51="Catastrófico"),CONCATENATE("R4C",'Mapa de Riesgos'!$P$51),"")</f>
        <v/>
      </c>
      <c r="AM39" s="15" t="str">
        <f>IF(AND('Mapa de Riesgos'!$Z$52="Baja",'Mapa de Riesgos'!$AB$52="Catastrófico"),CONCATENATE("R4C",'Mapa de Riesgos'!$P$52),"")</f>
        <v/>
      </c>
      <c r="AN39" s="41"/>
      <c r="AO39" s="459"/>
      <c r="AP39" s="460"/>
      <c r="AQ39" s="460"/>
      <c r="AR39" s="460"/>
      <c r="AS39" s="460"/>
      <c r="AT39" s="46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row r="40" spans="1:80" ht="15" customHeight="1" x14ac:dyDescent="0.25">
      <c r="A40" s="41"/>
      <c r="B40" s="340"/>
      <c r="C40" s="340"/>
      <c r="D40" s="341"/>
      <c r="E40" s="439"/>
      <c r="F40" s="438"/>
      <c r="G40" s="438"/>
      <c r="H40" s="438"/>
      <c r="I40" s="438"/>
      <c r="J40" s="34" t="e">
        <f>IF(AND('Mapa de Riesgos'!#REF!="Baja",'Mapa de Riesgos'!#REF!="Leve"),CONCATENATE("R5C",'Mapa de Riesgos'!#REF!),"")</f>
        <v>#REF!</v>
      </c>
      <c r="K40" s="35" t="e">
        <f>IF(AND('Mapa de Riesgos'!#REF!="Baja",'Mapa de Riesgos'!#REF!="Leve"),CONCATENATE("R5C",'Mapa de Riesgos'!#REF!),"")</f>
        <v>#REF!</v>
      </c>
      <c r="L40" s="35" t="e">
        <f>IF(AND('Mapa de Riesgos'!#REF!="Baja",'Mapa de Riesgos'!#REF!="Leve"),CONCATENATE("R5C",'Mapa de Riesgos'!#REF!),"")</f>
        <v>#REF!</v>
      </c>
      <c r="M40" s="35" t="e">
        <f>IF(AND('Mapa de Riesgos'!#REF!="Baja",'Mapa de Riesgos'!#REF!="Leve"),CONCATENATE("R5C",'Mapa de Riesgos'!#REF!),"")</f>
        <v>#REF!</v>
      </c>
      <c r="N40" s="35" t="e">
        <f>IF(AND('Mapa de Riesgos'!#REF!="Baja",'Mapa de Riesgos'!#REF!="Leve"),CONCATENATE("R5C",'Mapa de Riesgos'!#REF!),"")</f>
        <v>#REF!</v>
      </c>
      <c r="O40" s="36" t="e">
        <f>IF(AND('Mapa de Riesgos'!#REF!="Baja",'Mapa de Riesgos'!#REF!="Leve"),CONCATENATE("R5C",'Mapa de Riesgos'!#REF!),"")</f>
        <v>#REF!</v>
      </c>
      <c r="P40" s="25" t="e">
        <f>IF(AND('Mapa de Riesgos'!#REF!="Baja",'Mapa de Riesgos'!#REF!="Menor"),CONCATENATE("R5C",'Mapa de Riesgos'!#REF!),"")</f>
        <v>#REF!</v>
      </c>
      <c r="Q40" s="26" t="e">
        <f>IF(AND('Mapa de Riesgos'!#REF!="Baja",'Mapa de Riesgos'!#REF!="Menor"),CONCATENATE("R5C",'Mapa de Riesgos'!#REF!),"")</f>
        <v>#REF!</v>
      </c>
      <c r="R40" s="26" t="e">
        <f>IF(AND('Mapa de Riesgos'!#REF!="Baja",'Mapa de Riesgos'!#REF!="Menor"),CONCATENATE("R5C",'Mapa de Riesgos'!#REF!),"")</f>
        <v>#REF!</v>
      </c>
      <c r="S40" s="26" t="e">
        <f>IF(AND('Mapa de Riesgos'!#REF!="Baja",'Mapa de Riesgos'!#REF!="Menor"),CONCATENATE("R5C",'Mapa de Riesgos'!#REF!),"")</f>
        <v>#REF!</v>
      </c>
      <c r="T40" s="26" t="e">
        <f>IF(AND('Mapa de Riesgos'!#REF!="Baja",'Mapa de Riesgos'!#REF!="Menor"),CONCATENATE("R5C",'Mapa de Riesgos'!#REF!),"")</f>
        <v>#REF!</v>
      </c>
      <c r="U40" s="27" t="e">
        <f>IF(AND('Mapa de Riesgos'!#REF!="Baja",'Mapa de Riesgos'!#REF!="Menor"),CONCATENATE("R5C",'Mapa de Riesgos'!#REF!),"")</f>
        <v>#REF!</v>
      </c>
      <c r="V40" s="25" t="e">
        <f>IF(AND('Mapa de Riesgos'!#REF!="Baja",'Mapa de Riesgos'!#REF!="Moderado"),CONCATENATE("R5C",'Mapa de Riesgos'!#REF!),"")</f>
        <v>#REF!</v>
      </c>
      <c r="W40" s="26" t="e">
        <f>IF(AND('Mapa de Riesgos'!#REF!="Baja",'Mapa de Riesgos'!#REF!="Moderado"),CONCATENATE("R5C",'Mapa de Riesgos'!#REF!),"")</f>
        <v>#REF!</v>
      </c>
      <c r="X40" s="26" t="e">
        <f>IF(AND('Mapa de Riesgos'!#REF!="Baja",'Mapa de Riesgos'!#REF!="Moderado"),CONCATENATE("R5C",'Mapa de Riesgos'!#REF!),"")</f>
        <v>#REF!</v>
      </c>
      <c r="Y40" s="26" t="e">
        <f>IF(AND('Mapa de Riesgos'!#REF!="Baja",'Mapa de Riesgos'!#REF!="Moderado"),CONCATENATE("R5C",'Mapa de Riesgos'!#REF!),"")</f>
        <v>#REF!</v>
      </c>
      <c r="Z40" s="26" t="e">
        <f>IF(AND('Mapa de Riesgos'!#REF!="Baja",'Mapa de Riesgos'!#REF!="Moderado"),CONCATENATE("R5C",'Mapa de Riesgos'!#REF!),"")</f>
        <v>#REF!</v>
      </c>
      <c r="AA40" s="27" t="e">
        <f>IF(AND('Mapa de Riesgos'!#REF!="Baja",'Mapa de Riesgos'!#REF!="Moderado"),CONCATENATE("R5C",'Mapa de Riesgos'!#REF!),"")</f>
        <v>#REF!</v>
      </c>
      <c r="AB40" s="10" t="e">
        <f>IF(AND('Mapa de Riesgos'!#REF!="Baja",'Mapa de Riesgos'!#REF!="Mayor"),CONCATENATE("R5C",'Mapa de Riesgos'!#REF!),"")</f>
        <v>#REF!</v>
      </c>
      <c r="AC40" s="11" t="e">
        <f>IF(AND('Mapa de Riesgos'!#REF!="Baja",'Mapa de Riesgos'!#REF!="Mayor"),CONCATENATE("R5C",'Mapa de Riesgos'!#REF!),"")</f>
        <v>#REF!</v>
      </c>
      <c r="AD40" s="11" t="e">
        <f>IF(AND('Mapa de Riesgos'!#REF!="Baja",'Mapa de Riesgos'!#REF!="Mayor"),CONCATENATE("R5C",'Mapa de Riesgos'!#REF!),"")</f>
        <v>#REF!</v>
      </c>
      <c r="AE40" s="11" t="e">
        <f>IF(AND('Mapa de Riesgos'!#REF!="Baja",'Mapa de Riesgos'!#REF!="Mayor"),CONCATENATE("R5C",'Mapa de Riesgos'!#REF!),"")</f>
        <v>#REF!</v>
      </c>
      <c r="AF40" s="11" t="e">
        <f>IF(AND('Mapa de Riesgos'!#REF!="Baja",'Mapa de Riesgos'!#REF!="Mayor"),CONCATENATE("R5C",'Mapa de Riesgos'!#REF!),"")</f>
        <v>#REF!</v>
      </c>
      <c r="AG40" s="12" t="e">
        <f>IF(AND('Mapa de Riesgos'!#REF!="Baja",'Mapa de Riesgos'!#REF!="Mayor"),CONCATENATE("R5C",'Mapa de Riesgos'!#REF!),"")</f>
        <v>#REF!</v>
      </c>
      <c r="AH40" s="13" t="e">
        <f>IF(AND('Mapa de Riesgos'!#REF!="Baja",'Mapa de Riesgos'!#REF!="Catastrófico"),CONCATENATE("R5C",'Mapa de Riesgos'!#REF!),"")</f>
        <v>#REF!</v>
      </c>
      <c r="AI40" s="14" t="e">
        <f>IF(AND('Mapa de Riesgos'!#REF!="Baja",'Mapa de Riesgos'!#REF!="Catastrófico"),CONCATENATE("R5C",'Mapa de Riesgos'!#REF!),"")</f>
        <v>#REF!</v>
      </c>
      <c r="AJ40" s="14" t="e">
        <f>IF(AND('Mapa de Riesgos'!#REF!="Baja",'Mapa de Riesgos'!#REF!="Catastrófico"),CONCATENATE("R5C",'Mapa de Riesgos'!#REF!),"")</f>
        <v>#REF!</v>
      </c>
      <c r="AK40" s="14" t="e">
        <f>IF(AND('Mapa de Riesgos'!#REF!="Baja",'Mapa de Riesgos'!#REF!="Catastrófico"),CONCATENATE("R5C",'Mapa de Riesgos'!#REF!),"")</f>
        <v>#REF!</v>
      </c>
      <c r="AL40" s="14" t="e">
        <f>IF(AND('Mapa de Riesgos'!#REF!="Baja",'Mapa de Riesgos'!#REF!="Catastrófico"),CONCATENATE("R5C",'Mapa de Riesgos'!#REF!),"")</f>
        <v>#REF!</v>
      </c>
      <c r="AM40" s="15" t="e">
        <f>IF(AND('Mapa de Riesgos'!#REF!="Baja",'Mapa de Riesgos'!#REF!="Catastrófico"),CONCATENATE("R5C",'Mapa de Riesgos'!#REF!),"")</f>
        <v>#REF!</v>
      </c>
      <c r="AN40" s="41"/>
      <c r="AO40" s="459"/>
      <c r="AP40" s="460"/>
      <c r="AQ40" s="460"/>
      <c r="AR40" s="460"/>
      <c r="AS40" s="460"/>
      <c r="AT40" s="46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row>
    <row r="41" spans="1:80" ht="15" customHeight="1" x14ac:dyDescent="0.25">
      <c r="A41" s="41"/>
      <c r="B41" s="340"/>
      <c r="C41" s="340"/>
      <c r="D41" s="341"/>
      <c r="E41" s="439"/>
      <c r="F41" s="438"/>
      <c r="G41" s="438"/>
      <c r="H41" s="438"/>
      <c r="I41" s="438"/>
      <c r="J41" s="34" t="str">
        <f>IF(AND('Mapa de Riesgos'!$Z$53="Baja",'Mapa de Riesgos'!$AB$53="Leve"),CONCATENATE("R6C",'Mapa de Riesgos'!$P$53),"")</f>
        <v/>
      </c>
      <c r="K41" s="35" t="str">
        <f>IF(AND('Mapa de Riesgos'!$Z$54="Baja",'Mapa de Riesgos'!$AB$54="Leve"),CONCATENATE("R6C",'Mapa de Riesgos'!$P$54),"")</f>
        <v/>
      </c>
      <c r="L41" s="35" t="str">
        <f>IF(AND('Mapa de Riesgos'!$Z$55="Baja",'Mapa de Riesgos'!$AB$55="Leve"),CONCATENATE("R6C",'Mapa de Riesgos'!$P$55),"")</f>
        <v/>
      </c>
      <c r="M41" s="35" t="str">
        <f>IF(AND('Mapa de Riesgos'!$Z$56="Baja",'Mapa de Riesgos'!$AB$56="Leve"),CONCATENATE("R6C",'Mapa de Riesgos'!$P$56),"")</f>
        <v/>
      </c>
      <c r="N41" s="35" t="str">
        <f>IF(AND('Mapa de Riesgos'!$Z$57="Baja",'Mapa de Riesgos'!$AB$57="Leve"),CONCATENATE("R6C",'Mapa de Riesgos'!$P$57),"")</f>
        <v/>
      </c>
      <c r="O41" s="36" t="str">
        <f>IF(AND('Mapa de Riesgos'!$Z$58="Baja",'Mapa de Riesgos'!$AB$58="Leve"),CONCATENATE("R6C",'Mapa de Riesgos'!$P$58),"")</f>
        <v/>
      </c>
      <c r="P41" s="25" t="str">
        <f>IF(AND('Mapa de Riesgos'!$Z$53="Baja",'Mapa de Riesgos'!$AB$53="Menor"),CONCATENATE("R6C",'Mapa de Riesgos'!$P$53),"")</f>
        <v/>
      </c>
      <c r="Q41" s="26" t="str">
        <f>IF(AND('Mapa de Riesgos'!$Z$54="Baja",'Mapa de Riesgos'!$AB$54="Menor"),CONCATENATE("R6C",'Mapa de Riesgos'!$P$54),"")</f>
        <v/>
      </c>
      <c r="R41" s="26" t="str">
        <f>IF(AND('Mapa de Riesgos'!$Z$55="Baja",'Mapa de Riesgos'!$AB$55="Menor"),CONCATENATE("R6C",'Mapa de Riesgos'!$P$55),"")</f>
        <v/>
      </c>
      <c r="S41" s="26" t="str">
        <f>IF(AND('Mapa de Riesgos'!$Z$56="Baja",'Mapa de Riesgos'!$AB$56="Menor"),CONCATENATE("R6C",'Mapa de Riesgos'!$P$56),"")</f>
        <v/>
      </c>
      <c r="T41" s="26" t="str">
        <f>IF(AND('Mapa de Riesgos'!$Z$57="Baja",'Mapa de Riesgos'!$AB$57="Menor"),CONCATENATE("R6C",'Mapa de Riesgos'!$P$57),"")</f>
        <v/>
      </c>
      <c r="U41" s="27" t="str">
        <f>IF(AND('Mapa de Riesgos'!$Z$58="Baja",'Mapa de Riesgos'!$AB$58="Menor"),CONCATENATE("R6C",'Mapa de Riesgos'!$P$58),"")</f>
        <v/>
      </c>
      <c r="V41" s="25" t="str">
        <f>IF(AND('Mapa de Riesgos'!$Z$53="Baja",'Mapa de Riesgos'!$AB$53="Moderado"),CONCATENATE("R6C",'Mapa de Riesgos'!$P$53),"")</f>
        <v/>
      </c>
      <c r="W41" s="26" t="str">
        <f>IF(AND('Mapa de Riesgos'!$Z$54="Baja",'Mapa de Riesgos'!$AB$54="Moderado"),CONCATENATE("R6C",'Mapa de Riesgos'!$P$54),"")</f>
        <v/>
      </c>
      <c r="X41" s="26" t="str">
        <f>IF(AND('Mapa de Riesgos'!$Z$55="Baja",'Mapa de Riesgos'!$AB$55="Moderado"),CONCATENATE("R6C",'Mapa de Riesgos'!$P$55),"")</f>
        <v/>
      </c>
      <c r="Y41" s="26" t="str">
        <f>IF(AND('Mapa de Riesgos'!$Z$56="Baja",'Mapa de Riesgos'!$AB$56="Moderado"),CONCATENATE("R6C",'Mapa de Riesgos'!$P$56),"")</f>
        <v/>
      </c>
      <c r="Z41" s="26" t="str">
        <f>IF(AND('Mapa de Riesgos'!$Z$57="Baja",'Mapa de Riesgos'!$AB$57="Moderado"),CONCATENATE("R6C",'Mapa de Riesgos'!$P$57),"")</f>
        <v/>
      </c>
      <c r="AA41" s="27" t="str">
        <f>IF(AND('Mapa de Riesgos'!$Z$58="Baja",'Mapa de Riesgos'!$AB$58="Moderado"),CONCATENATE("R6C",'Mapa de Riesgos'!$P$58),"")</f>
        <v/>
      </c>
      <c r="AB41" s="10" t="str">
        <f>IF(AND('Mapa de Riesgos'!$Z$53="Baja",'Mapa de Riesgos'!$AB$53="Mayor"),CONCATENATE("R6C",'Mapa de Riesgos'!$P$53),"")</f>
        <v/>
      </c>
      <c r="AC41" s="11" t="str">
        <f>IF(AND('Mapa de Riesgos'!$Z$54="Baja",'Mapa de Riesgos'!$AB$54="Mayor"),CONCATENATE("R6C",'Mapa de Riesgos'!$P$54),"")</f>
        <v/>
      </c>
      <c r="AD41" s="11" t="str">
        <f>IF(AND('Mapa de Riesgos'!$Z$55="Baja",'Mapa de Riesgos'!$AB$55="Mayor"),CONCATENATE("R6C",'Mapa de Riesgos'!$P$55),"")</f>
        <v/>
      </c>
      <c r="AE41" s="11" t="str">
        <f>IF(AND('Mapa de Riesgos'!$Z$56="Baja",'Mapa de Riesgos'!$AB$56="Mayor"),CONCATENATE("R6C",'Mapa de Riesgos'!$P$56),"")</f>
        <v/>
      </c>
      <c r="AF41" s="11" t="str">
        <f>IF(AND('Mapa de Riesgos'!$Z$57="Baja",'Mapa de Riesgos'!$AB$57="Mayor"),CONCATENATE("R6C",'Mapa de Riesgos'!$P$57),"")</f>
        <v/>
      </c>
      <c r="AG41" s="12" t="str">
        <f>IF(AND('Mapa de Riesgos'!$Z$58="Baja",'Mapa de Riesgos'!$AB$58="Mayor"),CONCATENATE("R6C",'Mapa de Riesgos'!$P$58),"")</f>
        <v/>
      </c>
      <c r="AH41" s="13" t="str">
        <f>IF(AND('Mapa de Riesgos'!$Z$53="Baja",'Mapa de Riesgos'!$AB$53="Catastrófico"),CONCATENATE("R6C",'Mapa de Riesgos'!$P$53),"")</f>
        <v/>
      </c>
      <c r="AI41" s="14" t="str">
        <f>IF(AND('Mapa de Riesgos'!$Z$54="Baja",'Mapa de Riesgos'!$AB$54="Catastrófico"),CONCATENATE("R6C",'Mapa de Riesgos'!$P$54),"")</f>
        <v/>
      </c>
      <c r="AJ41" s="14" t="str">
        <f>IF(AND('Mapa de Riesgos'!$Z$55="Baja",'Mapa de Riesgos'!$AB$55="Catastrófico"),CONCATENATE("R6C",'Mapa de Riesgos'!$P$55),"")</f>
        <v/>
      </c>
      <c r="AK41" s="14" t="str">
        <f>IF(AND('Mapa de Riesgos'!$Z$56="Baja",'Mapa de Riesgos'!$AB$56="Catastrófico"),CONCATENATE("R6C",'Mapa de Riesgos'!$P$56),"")</f>
        <v/>
      </c>
      <c r="AL41" s="14" t="str">
        <f>IF(AND('Mapa de Riesgos'!$Z$57="Baja",'Mapa de Riesgos'!$AB$57="Catastrófico"),CONCATENATE("R6C",'Mapa de Riesgos'!$P$57),"")</f>
        <v/>
      </c>
      <c r="AM41" s="15" t="str">
        <f>IF(AND('Mapa de Riesgos'!$Z$58="Baja",'Mapa de Riesgos'!$AB$58="Catastrófico"),CONCATENATE("R6C",'Mapa de Riesgos'!$P$58),"")</f>
        <v/>
      </c>
      <c r="AN41" s="41"/>
      <c r="AO41" s="459"/>
      <c r="AP41" s="460"/>
      <c r="AQ41" s="460"/>
      <c r="AR41" s="460"/>
      <c r="AS41" s="460"/>
      <c r="AT41" s="46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row>
    <row r="42" spans="1:80" ht="15" customHeight="1" x14ac:dyDescent="0.25">
      <c r="A42" s="41"/>
      <c r="B42" s="340"/>
      <c r="C42" s="340"/>
      <c r="D42" s="341"/>
      <c r="E42" s="439"/>
      <c r="F42" s="438"/>
      <c r="G42" s="438"/>
      <c r="H42" s="438"/>
      <c r="I42" s="438"/>
      <c r="J42" s="34" t="str">
        <f>IF(AND('Mapa de Riesgos'!$Z$23="Baja",'Mapa de Riesgos'!$AB$23="Leve"),CONCATENATE("R7C",'Mapa de Riesgos'!$P$23),"")</f>
        <v/>
      </c>
      <c r="K42" s="35" t="str">
        <f>IF(AND('Mapa de Riesgos'!$Z$24="Baja",'Mapa de Riesgos'!$AB$24="Leve"),CONCATENATE("R7C",'Mapa de Riesgos'!$P$24),"")</f>
        <v/>
      </c>
      <c r="L42" s="35" t="str">
        <f>IF(AND('Mapa de Riesgos'!$Z$25="Baja",'Mapa de Riesgos'!$AB$25="Leve"),CONCATENATE("R7C",'Mapa de Riesgos'!$P$25),"")</f>
        <v/>
      </c>
      <c r="M42" s="35" t="str">
        <f>IF(AND('Mapa de Riesgos'!$Z$26="Baja",'Mapa de Riesgos'!$AB$26="Leve"),CONCATENATE("R7C",'Mapa de Riesgos'!$P$26),"")</f>
        <v/>
      </c>
      <c r="N42" s="35" t="str">
        <f>IF(AND('Mapa de Riesgos'!$Z$27="Baja",'Mapa de Riesgos'!$AB$27="Leve"),CONCATENATE("R7C",'Mapa de Riesgos'!$P$27),"")</f>
        <v/>
      </c>
      <c r="O42" s="36" t="str">
        <f>IF(AND('Mapa de Riesgos'!$Z$28="Baja",'Mapa de Riesgos'!$AB$28="Leve"),CONCATENATE("R7C",'Mapa de Riesgos'!$P$28),"")</f>
        <v/>
      </c>
      <c r="P42" s="25" t="str">
        <f>IF(AND('Mapa de Riesgos'!$Z$23="Baja",'Mapa de Riesgos'!$AB$23="Menor"),CONCATENATE("R7C",'Mapa de Riesgos'!$P$23),"")</f>
        <v/>
      </c>
      <c r="Q42" s="26" t="str">
        <f>IF(AND('Mapa de Riesgos'!$Z$24="Baja",'Mapa de Riesgos'!$AB$24="Menor"),CONCATENATE("R7C",'Mapa de Riesgos'!$P$24),"")</f>
        <v/>
      </c>
      <c r="R42" s="26" t="str">
        <f>IF(AND('Mapa de Riesgos'!$Z$25="Baja",'Mapa de Riesgos'!$AB$25="Menor"),CONCATENATE("R7C",'Mapa de Riesgos'!$P$25),"")</f>
        <v/>
      </c>
      <c r="S42" s="26" t="str">
        <f>IF(AND('Mapa de Riesgos'!$Z$26="Baja",'Mapa de Riesgos'!$AB$26="Menor"),CONCATENATE("R7C",'Mapa de Riesgos'!$P$26),"")</f>
        <v/>
      </c>
      <c r="T42" s="26" t="str">
        <f>IF(AND('Mapa de Riesgos'!$Z$27="Baja",'Mapa de Riesgos'!$AB$27="Menor"),CONCATENATE("R7C",'Mapa de Riesgos'!$P$27),"")</f>
        <v/>
      </c>
      <c r="U42" s="27" t="str">
        <f>IF(AND('Mapa de Riesgos'!$Z$28="Baja",'Mapa de Riesgos'!$AB$28="Menor"),CONCATENATE("R7C",'Mapa de Riesgos'!$P$28),"")</f>
        <v/>
      </c>
      <c r="V42" s="25" t="str">
        <f>IF(AND('Mapa de Riesgos'!$Z$23="Baja",'Mapa de Riesgos'!$AB$23="Moderado"),CONCATENATE("R7C",'Mapa de Riesgos'!$P$23),"")</f>
        <v/>
      </c>
      <c r="W42" s="26" t="str">
        <f>IF(AND('Mapa de Riesgos'!$Z$24="Baja",'Mapa de Riesgos'!$AB$24="Moderado"),CONCATENATE("R7C",'Mapa de Riesgos'!$P$24),"")</f>
        <v/>
      </c>
      <c r="X42" s="26" t="str">
        <f>IF(AND('Mapa de Riesgos'!$Z$25="Baja",'Mapa de Riesgos'!$AB$25="Moderado"),CONCATENATE("R7C",'Mapa de Riesgos'!$P$25),"")</f>
        <v/>
      </c>
      <c r="Y42" s="26" t="str">
        <f>IF(AND('Mapa de Riesgos'!$Z$26="Baja",'Mapa de Riesgos'!$AB$26="Moderado"),CONCATENATE("R7C",'Mapa de Riesgos'!$P$26),"")</f>
        <v/>
      </c>
      <c r="Z42" s="26" t="str">
        <f>IF(AND('Mapa de Riesgos'!$Z$27="Baja",'Mapa de Riesgos'!$AB$27="Moderado"),CONCATENATE("R7C",'Mapa de Riesgos'!$P$27),"")</f>
        <v/>
      </c>
      <c r="AA42" s="27" t="str">
        <f>IF(AND('Mapa de Riesgos'!$Z$28="Baja",'Mapa de Riesgos'!$AB$28="Moderado"),CONCATENATE("R7C",'Mapa de Riesgos'!$P$28),"")</f>
        <v/>
      </c>
      <c r="AB42" s="10" t="str">
        <f>IF(AND('Mapa de Riesgos'!$Z$23="Baja",'Mapa de Riesgos'!$AB$23="Mayor"),CONCATENATE("R7C",'Mapa de Riesgos'!$P$23),"")</f>
        <v/>
      </c>
      <c r="AC42" s="11" t="str">
        <f>IF(AND('Mapa de Riesgos'!$Z$24="Baja",'Mapa de Riesgos'!$AB$24="Mayor"),CONCATENATE("R7C",'Mapa de Riesgos'!$P$24),"")</f>
        <v/>
      </c>
      <c r="AD42" s="11" t="str">
        <f>IF(AND('Mapa de Riesgos'!$Z$25="Baja",'Mapa de Riesgos'!$AB$25="Mayor"),CONCATENATE("R7C",'Mapa de Riesgos'!$P$25),"")</f>
        <v/>
      </c>
      <c r="AE42" s="11" t="str">
        <f>IF(AND('Mapa de Riesgos'!$Z$26="Baja",'Mapa de Riesgos'!$AB$26="Mayor"),CONCATENATE("R7C",'Mapa de Riesgos'!$P$26),"")</f>
        <v/>
      </c>
      <c r="AF42" s="11" t="str">
        <f>IF(AND('Mapa de Riesgos'!$Z$27="Baja",'Mapa de Riesgos'!$AB$27="Mayor"),CONCATENATE("R7C",'Mapa de Riesgos'!$P$27),"")</f>
        <v/>
      </c>
      <c r="AG42" s="12" t="str">
        <f>IF(AND('Mapa de Riesgos'!$Z$28="Baja",'Mapa de Riesgos'!$AB$28="Mayor"),CONCATENATE("R7C",'Mapa de Riesgos'!$P$28),"")</f>
        <v/>
      </c>
      <c r="AH42" s="13" t="str">
        <f>IF(AND('Mapa de Riesgos'!$Z$23="Baja",'Mapa de Riesgos'!$AB$23="Catastrófico"),CONCATENATE("R7C",'Mapa de Riesgos'!$P$23),"")</f>
        <v/>
      </c>
      <c r="AI42" s="14" t="str">
        <f>IF(AND('Mapa de Riesgos'!$Z$24="Baja",'Mapa de Riesgos'!$AB$24="Catastrófico"),CONCATENATE("R7C",'Mapa de Riesgos'!$P$24),"")</f>
        <v/>
      </c>
      <c r="AJ42" s="14" t="str">
        <f>IF(AND('Mapa de Riesgos'!$Z$25="Baja",'Mapa de Riesgos'!$AB$25="Catastrófico"),CONCATENATE("R7C",'Mapa de Riesgos'!$P$25),"")</f>
        <v/>
      </c>
      <c r="AK42" s="14" t="str">
        <f>IF(AND('Mapa de Riesgos'!$Z$26="Baja",'Mapa de Riesgos'!$AB$26="Catastrófico"),CONCATENATE("R7C",'Mapa de Riesgos'!$P$26),"")</f>
        <v/>
      </c>
      <c r="AL42" s="14" t="str">
        <f>IF(AND('Mapa de Riesgos'!$Z$27="Baja",'Mapa de Riesgos'!$AB$27="Catastrófico"),CONCATENATE("R7C",'Mapa de Riesgos'!$P$27),"")</f>
        <v/>
      </c>
      <c r="AM42" s="15" t="str">
        <f>IF(AND('Mapa de Riesgos'!$Z$28="Baja",'Mapa de Riesgos'!$AB$28="Catastrófico"),CONCATENATE("R7C",'Mapa de Riesgos'!$P$28),"")</f>
        <v/>
      </c>
      <c r="AN42" s="41"/>
      <c r="AO42" s="459"/>
      <c r="AP42" s="460"/>
      <c r="AQ42" s="460"/>
      <c r="AR42" s="460"/>
      <c r="AS42" s="460"/>
      <c r="AT42" s="46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row>
    <row r="43" spans="1:80" ht="15" customHeight="1" x14ac:dyDescent="0.25">
      <c r="A43" s="41"/>
      <c r="B43" s="340"/>
      <c r="C43" s="340"/>
      <c r="D43" s="341"/>
      <c r="E43" s="439"/>
      <c r="F43" s="438"/>
      <c r="G43" s="438"/>
      <c r="H43" s="438"/>
      <c r="I43" s="438"/>
      <c r="J43" s="34" t="str">
        <f>IF(AND('Mapa de Riesgos'!$Z$17="Baja",'Mapa de Riesgos'!$AB$17="Leve"),CONCATENATE("R8C",'Mapa de Riesgos'!$P$17),"")</f>
        <v/>
      </c>
      <c r="K43" s="35" t="str">
        <f>IF(AND('Mapa de Riesgos'!$Z$18="Baja",'Mapa de Riesgos'!$AB$18="Leve"),CONCATENATE("R8C",'Mapa de Riesgos'!$P$18),"")</f>
        <v/>
      </c>
      <c r="L43" s="35" t="str">
        <f>IF(AND('Mapa de Riesgos'!$Z$19="Baja",'Mapa de Riesgos'!$AB$19="Leve"),CONCATENATE("R8C",'Mapa de Riesgos'!$P$19),"")</f>
        <v/>
      </c>
      <c r="M43" s="35" t="str">
        <f>IF(AND('Mapa de Riesgos'!$Z$20="Baja",'Mapa de Riesgos'!$AB$20="Leve"),CONCATENATE("R8C",'Mapa de Riesgos'!$P$20),"")</f>
        <v/>
      </c>
      <c r="N43" s="35" t="str">
        <f>IF(AND('Mapa de Riesgos'!$Z$21="Baja",'Mapa de Riesgos'!$AB$21="Leve"),CONCATENATE("R8C",'Mapa de Riesgos'!$P$21),"")</f>
        <v/>
      </c>
      <c r="O43" s="36" t="str">
        <f>IF(AND('Mapa de Riesgos'!$Z$22="Baja",'Mapa de Riesgos'!$AB$22="Leve"),CONCATENATE("R8C",'Mapa de Riesgos'!$P$22),"")</f>
        <v/>
      </c>
      <c r="P43" s="25" t="str">
        <f>IF(AND('Mapa de Riesgos'!$Z$17="Baja",'Mapa de Riesgos'!$AB$17="Menor"),CONCATENATE("R8C",'Mapa de Riesgos'!$P$17),"")</f>
        <v/>
      </c>
      <c r="Q43" s="26" t="str">
        <f>IF(AND('Mapa de Riesgos'!$Z$18="Baja",'Mapa de Riesgos'!$AB$18="Menor"),CONCATENATE("R8C",'Mapa de Riesgos'!$P$18),"")</f>
        <v/>
      </c>
      <c r="R43" s="26" t="str">
        <f>IF(AND('Mapa de Riesgos'!$Z$19="Baja",'Mapa de Riesgos'!$AB$19="Menor"),CONCATENATE("R8C",'Mapa de Riesgos'!$P$19),"")</f>
        <v/>
      </c>
      <c r="S43" s="26" t="str">
        <f>IF(AND('Mapa de Riesgos'!$Z$20="Baja",'Mapa de Riesgos'!$AB$20="Menor"),CONCATENATE("R8C",'Mapa de Riesgos'!$P$20),"")</f>
        <v/>
      </c>
      <c r="T43" s="26" t="str">
        <f>IF(AND('Mapa de Riesgos'!$Z$21="Baja",'Mapa de Riesgos'!$AB$21="Menor"),CONCATENATE("R8C",'Mapa de Riesgos'!$P$21),"")</f>
        <v/>
      </c>
      <c r="U43" s="27" t="str">
        <f>IF(AND('Mapa de Riesgos'!$Z$22="Baja",'Mapa de Riesgos'!$AB$22="Menor"),CONCATENATE("R8C",'Mapa de Riesgos'!$P$22),"")</f>
        <v/>
      </c>
      <c r="V43" s="25" t="str">
        <f>IF(AND('Mapa de Riesgos'!$Z$17="Baja",'Mapa de Riesgos'!$AB$17="Moderado"),CONCATENATE("R8C",'Mapa de Riesgos'!$P$17),"")</f>
        <v/>
      </c>
      <c r="W43" s="26" t="str">
        <f>IF(AND('Mapa de Riesgos'!$Z$18="Baja",'Mapa de Riesgos'!$AB$18="Moderado"),CONCATENATE("R8C",'Mapa de Riesgos'!$P$18),"")</f>
        <v/>
      </c>
      <c r="X43" s="26" t="str">
        <f>IF(AND('Mapa de Riesgos'!$Z$19="Baja",'Mapa de Riesgos'!$AB$19="Moderado"),CONCATENATE("R8C",'Mapa de Riesgos'!$P$19),"")</f>
        <v/>
      </c>
      <c r="Y43" s="26" t="str">
        <f>IF(AND('Mapa de Riesgos'!$Z$20="Baja",'Mapa de Riesgos'!$AB$20="Moderado"),CONCATENATE("R8C",'Mapa de Riesgos'!$P$20),"")</f>
        <v/>
      </c>
      <c r="Z43" s="26" t="str">
        <f>IF(AND('Mapa de Riesgos'!$Z$21="Baja",'Mapa de Riesgos'!$AB$21="Moderado"),CONCATENATE("R8C",'Mapa de Riesgos'!$P$21),"")</f>
        <v/>
      </c>
      <c r="AA43" s="27" t="str">
        <f>IF(AND('Mapa de Riesgos'!$Z$22="Baja",'Mapa de Riesgos'!$AB$22="Moderado"),CONCATENATE("R8C",'Mapa de Riesgos'!$P$22),"")</f>
        <v/>
      </c>
      <c r="AB43" s="10" t="str">
        <f>IF(AND('Mapa de Riesgos'!$Z$17="Baja",'Mapa de Riesgos'!$AB$17="Mayor"),CONCATENATE("R8C",'Mapa de Riesgos'!$P$17),"")</f>
        <v/>
      </c>
      <c r="AC43" s="11" t="str">
        <f>IF(AND('Mapa de Riesgos'!$Z$18="Baja",'Mapa de Riesgos'!$AB$18="Mayor"),CONCATENATE("R8C",'Mapa de Riesgos'!$P$18),"")</f>
        <v/>
      </c>
      <c r="AD43" s="11" t="str">
        <f>IF(AND('Mapa de Riesgos'!$Z$19="Baja",'Mapa de Riesgos'!$AB$19="Mayor"),CONCATENATE("R8C",'Mapa de Riesgos'!$P$19),"")</f>
        <v/>
      </c>
      <c r="AE43" s="11" t="str">
        <f>IF(AND('Mapa de Riesgos'!$Z$20="Baja",'Mapa de Riesgos'!$AB$20="Mayor"),CONCATENATE("R8C",'Mapa de Riesgos'!$P$20),"")</f>
        <v/>
      </c>
      <c r="AF43" s="11" t="str">
        <f>IF(AND('Mapa de Riesgos'!$Z$21="Baja",'Mapa de Riesgos'!$AB$21="Mayor"),CONCATENATE("R8C",'Mapa de Riesgos'!$P$21),"")</f>
        <v/>
      </c>
      <c r="AG43" s="12" t="str">
        <f>IF(AND('Mapa de Riesgos'!$Z$22="Baja",'Mapa de Riesgos'!$AB$22="Mayor"),CONCATENATE("R8C",'Mapa de Riesgos'!$P$22),"")</f>
        <v/>
      </c>
      <c r="AH43" s="13" t="str">
        <f>IF(AND('Mapa de Riesgos'!$Z$17="Baja",'Mapa de Riesgos'!$AB$17="Catastrófico"),CONCATENATE("R8C",'Mapa de Riesgos'!$P$17),"")</f>
        <v/>
      </c>
      <c r="AI43" s="14" t="str">
        <f>IF(AND('Mapa de Riesgos'!$Z$18="Baja",'Mapa de Riesgos'!$AB$18="Catastrófico"),CONCATENATE("R8C",'Mapa de Riesgos'!$P$18),"")</f>
        <v/>
      </c>
      <c r="AJ43" s="14" t="str">
        <f>IF(AND('Mapa de Riesgos'!$Z$19="Baja",'Mapa de Riesgos'!$AB$19="Catastrófico"),CONCATENATE("R8C",'Mapa de Riesgos'!$P$19),"")</f>
        <v/>
      </c>
      <c r="AK43" s="14" t="str">
        <f>IF(AND('Mapa de Riesgos'!$Z$20="Baja",'Mapa de Riesgos'!$AB$20="Catastrófico"),CONCATENATE("R8C",'Mapa de Riesgos'!$P$20),"")</f>
        <v/>
      </c>
      <c r="AL43" s="14" t="str">
        <f>IF(AND('Mapa de Riesgos'!$Z$21="Baja",'Mapa de Riesgos'!$AB$21="Catastrófico"),CONCATENATE("R8C",'Mapa de Riesgos'!$P$21),"")</f>
        <v/>
      </c>
      <c r="AM43" s="15" t="str">
        <f>IF(AND('Mapa de Riesgos'!$Z$22="Baja",'Mapa de Riesgos'!$AB$22="Catastrófico"),CONCATENATE("R8C",'Mapa de Riesgos'!$P$22),"")</f>
        <v/>
      </c>
      <c r="AN43" s="41"/>
      <c r="AO43" s="459"/>
      <c r="AP43" s="460"/>
      <c r="AQ43" s="460"/>
      <c r="AR43" s="460"/>
      <c r="AS43" s="460"/>
      <c r="AT43" s="46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row>
    <row r="44" spans="1:80" ht="15" customHeight="1" x14ac:dyDescent="0.25">
      <c r="A44" s="41"/>
      <c r="B44" s="340"/>
      <c r="C44" s="340"/>
      <c r="D44" s="341"/>
      <c r="E44" s="439"/>
      <c r="F44" s="438"/>
      <c r="G44" s="438"/>
      <c r="H44" s="438"/>
      <c r="I44" s="438"/>
      <c r="J44" s="34" t="str">
        <f>IF(AND('Mapa de Riesgos'!$Z$59="Baja",'Mapa de Riesgos'!$AB$59="Leve"),CONCATENATE("R9C",'Mapa de Riesgos'!$P$59),"")</f>
        <v/>
      </c>
      <c r="K44" s="35" t="str">
        <f>IF(AND('Mapa de Riesgos'!$Z$60="Baja",'Mapa de Riesgos'!$AB$60="Leve"),CONCATENATE("R9C",'Mapa de Riesgos'!$P$60),"")</f>
        <v/>
      </c>
      <c r="L44" s="35" t="str">
        <f>IF(AND('Mapa de Riesgos'!$Z$61="Baja",'Mapa de Riesgos'!$AB$61="Leve"),CONCATENATE("R9C",'Mapa de Riesgos'!$P$61),"")</f>
        <v/>
      </c>
      <c r="M44" s="35" t="str">
        <f>IF(AND('Mapa de Riesgos'!$Z$62="Baja",'Mapa de Riesgos'!$AB$62="Leve"),CONCATENATE("R9C",'Mapa de Riesgos'!$P$62),"")</f>
        <v/>
      </c>
      <c r="N44" s="35" t="str">
        <f>IF(AND('Mapa de Riesgos'!$Z$63="Baja",'Mapa de Riesgos'!$AB$63="Leve"),CONCATENATE("R9C",'Mapa de Riesgos'!$P$63),"")</f>
        <v/>
      </c>
      <c r="O44" s="36" t="str">
        <f>IF(AND('Mapa de Riesgos'!$Z$64="Baja",'Mapa de Riesgos'!$AB$64="Leve"),CONCATENATE("R9C",'Mapa de Riesgos'!$P$64),"")</f>
        <v/>
      </c>
      <c r="P44" s="25" t="str">
        <f>IF(AND('Mapa de Riesgos'!$Z$59="Baja",'Mapa de Riesgos'!$AB$59="Menor"),CONCATENATE("R9C",'Mapa de Riesgos'!$P$59),"")</f>
        <v/>
      </c>
      <c r="Q44" s="26" t="str">
        <f>IF(AND('Mapa de Riesgos'!$Z$60="Baja",'Mapa de Riesgos'!$AB$60="Menor"),CONCATENATE("R9C",'Mapa de Riesgos'!$P$60),"")</f>
        <v/>
      </c>
      <c r="R44" s="26" t="str">
        <f>IF(AND('Mapa de Riesgos'!$Z$61="Baja",'Mapa de Riesgos'!$AB$61="Menor"),CONCATENATE("R9C",'Mapa de Riesgos'!$P$61),"")</f>
        <v/>
      </c>
      <c r="S44" s="26" t="str">
        <f>IF(AND('Mapa de Riesgos'!$Z$62="Baja",'Mapa de Riesgos'!$AB$62="Menor"),CONCATENATE("R9C",'Mapa de Riesgos'!$P$62),"")</f>
        <v/>
      </c>
      <c r="T44" s="26" t="str">
        <f>IF(AND('Mapa de Riesgos'!$Z$63="Baja",'Mapa de Riesgos'!$AB$63="Menor"),CONCATENATE("R9C",'Mapa de Riesgos'!$P$63),"")</f>
        <v/>
      </c>
      <c r="U44" s="27" t="str">
        <f>IF(AND('Mapa de Riesgos'!$Z$64="Baja",'Mapa de Riesgos'!$AB$64="Menor"),CONCATENATE("R9C",'Mapa de Riesgos'!$P$64),"")</f>
        <v/>
      </c>
      <c r="V44" s="25" t="str">
        <f>IF(AND('Mapa de Riesgos'!$Z$59="Baja",'Mapa de Riesgos'!$AB$59="Moderado"),CONCATENATE("R9C",'Mapa de Riesgos'!$P$59),"")</f>
        <v/>
      </c>
      <c r="W44" s="26" t="str">
        <f>IF(AND('Mapa de Riesgos'!$Z$60="Baja",'Mapa de Riesgos'!$AB$60="Moderado"),CONCATENATE("R9C",'Mapa de Riesgos'!$P$60),"")</f>
        <v/>
      </c>
      <c r="X44" s="26" t="str">
        <f>IF(AND('Mapa de Riesgos'!$Z$61="Baja",'Mapa de Riesgos'!$AB$61="Moderado"),CONCATENATE("R9C",'Mapa de Riesgos'!$P$61),"")</f>
        <v/>
      </c>
      <c r="Y44" s="26" t="str">
        <f>IF(AND('Mapa de Riesgos'!$Z$62="Baja",'Mapa de Riesgos'!$AB$62="Moderado"),CONCATENATE("R9C",'Mapa de Riesgos'!$P$62),"")</f>
        <v/>
      </c>
      <c r="Z44" s="26" t="str">
        <f>IF(AND('Mapa de Riesgos'!$Z$63="Baja",'Mapa de Riesgos'!$AB$63="Moderado"),CONCATENATE("R9C",'Mapa de Riesgos'!$P$63),"")</f>
        <v/>
      </c>
      <c r="AA44" s="27" t="str">
        <f>IF(AND('Mapa de Riesgos'!$Z$64="Baja",'Mapa de Riesgos'!$AB$64="Moderado"),CONCATENATE("R9C",'Mapa de Riesgos'!$P$64),"")</f>
        <v/>
      </c>
      <c r="AB44" s="10" t="str">
        <f>IF(AND('Mapa de Riesgos'!$Z$59="Baja",'Mapa de Riesgos'!$AB$59="Mayor"),CONCATENATE("R9C",'Mapa de Riesgos'!$P$59),"")</f>
        <v/>
      </c>
      <c r="AC44" s="11" t="str">
        <f>IF(AND('Mapa de Riesgos'!$Z$60="Baja",'Mapa de Riesgos'!$AB$60="Mayor"),CONCATENATE("R9C",'Mapa de Riesgos'!$P$60),"")</f>
        <v/>
      </c>
      <c r="AD44" s="11" t="str">
        <f>IF(AND('Mapa de Riesgos'!$Z$61="Baja",'Mapa de Riesgos'!$AB$61="Mayor"),CONCATENATE("R9C",'Mapa de Riesgos'!$P$61),"")</f>
        <v/>
      </c>
      <c r="AE44" s="11" t="str">
        <f>IF(AND('Mapa de Riesgos'!$Z$62="Baja",'Mapa de Riesgos'!$AB$62="Mayor"),CONCATENATE("R9C",'Mapa de Riesgos'!$P$62),"")</f>
        <v/>
      </c>
      <c r="AF44" s="11" t="str">
        <f>IF(AND('Mapa de Riesgos'!$Z$63="Baja",'Mapa de Riesgos'!$AB$63="Mayor"),CONCATENATE("R9C",'Mapa de Riesgos'!$P$63),"")</f>
        <v/>
      </c>
      <c r="AG44" s="12" t="str">
        <f>IF(AND('Mapa de Riesgos'!$Z$64="Baja",'Mapa de Riesgos'!$AB$64="Mayor"),CONCATENATE("R9C",'Mapa de Riesgos'!$P$64),"")</f>
        <v/>
      </c>
      <c r="AH44" s="13" t="str">
        <f>IF(AND('Mapa de Riesgos'!$Z$59="Baja",'Mapa de Riesgos'!$AB$59="Catastrófico"),CONCATENATE("R9C",'Mapa de Riesgos'!$P$59),"")</f>
        <v/>
      </c>
      <c r="AI44" s="14" t="str">
        <f>IF(AND('Mapa de Riesgos'!$Z$60="Baja",'Mapa de Riesgos'!$AB$60="Catastrófico"),CONCATENATE("R9C",'Mapa de Riesgos'!$P$60),"")</f>
        <v/>
      </c>
      <c r="AJ44" s="14" t="str">
        <f>IF(AND('Mapa de Riesgos'!$Z$61="Baja",'Mapa de Riesgos'!$AB$61="Catastrófico"),CONCATENATE("R9C",'Mapa de Riesgos'!$P$61),"")</f>
        <v/>
      </c>
      <c r="AK44" s="14" t="str">
        <f>IF(AND('Mapa de Riesgos'!$Z$62="Baja",'Mapa de Riesgos'!$AB$62="Catastrófico"),CONCATENATE("R9C",'Mapa de Riesgos'!$P$62),"")</f>
        <v/>
      </c>
      <c r="AL44" s="14" t="str">
        <f>IF(AND('Mapa de Riesgos'!$Z$63="Baja",'Mapa de Riesgos'!$AB$63="Catastrófico"),CONCATENATE("R9C",'Mapa de Riesgos'!$P$63),"")</f>
        <v/>
      </c>
      <c r="AM44" s="15" t="str">
        <f>IF(AND('Mapa de Riesgos'!$Z$64="Baja",'Mapa de Riesgos'!$AB$64="Catastrófico"),CONCATENATE("R9C",'Mapa de Riesgos'!$P$64),"")</f>
        <v/>
      </c>
      <c r="AN44" s="41"/>
      <c r="AO44" s="459"/>
      <c r="AP44" s="460"/>
      <c r="AQ44" s="460"/>
      <c r="AR44" s="460"/>
      <c r="AS44" s="460"/>
      <c r="AT44" s="46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row>
    <row r="45" spans="1:80" ht="15.75" customHeight="1" thickBot="1" x14ac:dyDescent="0.3">
      <c r="A45" s="41"/>
      <c r="B45" s="340"/>
      <c r="C45" s="340"/>
      <c r="D45" s="341"/>
      <c r="E45" s="440"/>
      <c r="F45" s="441"/>
      <c r="G45" s="441"/>
      <c r="H45" s="441"/>
      <c r="I45" s="441"/>
      <c r="J45" s="37" t="str">
        <f>IF(AND('Mapa de Riesgos'!$Z$65="Baja",'Mapa de Riesgos'!$AB$65="Leve"),CONCATENATE("R10C",'Mapa de Riesgos'!$P$65),"")</f>
        <v/>
      </c>
      <c r="K45" s="38" t="str">
        <f>IF(AND('Mapa de Riesgos'!$Z$66="Baja",'Mapa de Riesgos'!$AB$66="Leve"),CONCATENATE("R10C",'Mapa de Riesgos'!$P$66),"")</f>
        <v/>
      </c>
      <c r="L45" s="38" t="str">
        <f>IF(AND('Mapa de Riesgos'!$Z$67="Baja",'Mapa de Riesgos'!$AB$67="Leve"),CONCATENATE("R10C",'Mapa de Riesgos'!$P$67),"")</f>
        <v/>
      </c>
      <c r="M45" s="38" t="str">
        <f>IF(AND('Mapa de Riesgos'!$Z$68="Baja",'Mapa de Riesgos'!$AB$68="Leve"),CONCATENATE("R10C",'Mapa de Riesgos'!$P$68),"")</f>
        <v/>
      </c>
      <c r="N45" s="38" t="str">
        <f>IF(AND('Mapa de Riesgos'!$Z$69="Baja",'Mapa de Riesgos'!$AB$69="Leve"),CONCATENATE("R10C",'Mapa de Riesgos'!$P$69),"")</f>
        <v/>
      </c>
      <c r="O45" s="39" t="str">
        <f>IF(AND('Mapa de Riesgos'!$Z$70="Baja",'Mapa de Riesgos'!$AB$70="Leve"),CONCATENATE("R10C",'Mapa de Riesgos'!$P$70),"")</f>
        <v/>
      </c>
      <c r="P45" s="25" t="str">
        <f>IF(AND('Mapa de Riesgos'!$Z$65="Baja",'Mapa de Riesgos'!$AB$65="Menor"),CONCATENATE("R10C",'Mapa de Riesgos'!$P$65),"")</f>
        <v/>
      </c>
      <c r="Q45" s="26" t="str">
        <f>IF(AND('Mapa de Riesgos'!$Z$66="Baja",'Mapa de Riesgos'!$AB$66="Menor"),CONCATENATE("R10C",'Mapa de Riesgos'!$P$66),"")</f>
        <v/>
      </c>
      <c r="R45" s="26" t="str">
        <f>IF(AND('Mapa de Riesgos'!$Z$67="Baja",'Mapa de Riesgos'!$AB$67="Menor"),CONCATENATE("R10C",'Mapa de Riesgos'!$P$67),"")</f>
        <v/>
      </c>
      <c r="S45" s="26" t="str">
        <f>IF(AND('Mapa de Riesgos'!$Z$68="Baja",'Mapa de Riesgos'!$AB$68="Menor"),CONCATENATE("R10C",'Mapa de Riesgos'!$P$68),"")</f>
        <v/>
      </c>
      <c r="T45" s="26" t="str">
        <f>IF(AND('Mapa de Riesgos'!$Z$69="Baja",'Mapa de Riesgos'!$AB$69="Menor"),CONCATENATE("R10C",'Mapa de Riesgos'!$P$69),"")</f>
        <v/>
      </c>
      <c r="U45" s="27" t="str">
        <f>IF(AND('Mapa de Riesgos'!$Z$70="Baja",'Mapa de Riesgos'!$AB$70="Menor"),CONCATENATE("R10C",'Mapa de Riesgos'!$P$70),"")</f>
        <v/>
      </c>
      <c r="V45" s="28" t="str">
        <f>IF(AND('Mapa de Riesgos'!$Z$65="Baja",'Mapa de Riesgos'!$AB$65="Moderado"),CONCATENATE("R10C",'Mapa de Riesgos'!$P$65),"")</f>
        <v/>
      </c>
      <c r="W45" s="29" t="str">
        <f>IF(AND('Mapa de Riesgos'!$Z$66="Baja",'Mapa de Riesgos'!$AB$66="Moderado"),CONCATENATE("R10C",'Mapa de Riesgos'!$P$66),"")</f>
        <v/>
      </c>
      <c r="X45" s="29" t="str">
        <f>IF(AND('Mapa de Riesgos'!$Z$67="Baja",'Mapa de Riesgos'!$AB$67="Moderado"),CONCATENATE("R10C",'Mapa de Riesgos'!$P$67),"")</f>
        <v/>
      </c>
      <c r="Y45" s="29" t="str">
        <f>IF(AND('Mapa de Riesgos'!$Z$68="Baja",'Mapa de Riesgos'!$AB$68="Moderado"),CONCATENATE("R10C",'Mapa de Riesgos'!$P$68),"")</f>
        <v/>
      </c>
      <c r="Z45" s="29" t="str">
        <f>IF(AND('Mapa de Riesgos'!$Z$69="Baja",'Mapa de Riesgos'!$AB$69="Moderado"),CONCATENATE("R10C",'Mapa de Riesgos'!$P$69),"")</f>
        <v/>
      </c>
      <c r="AA45" s="30" t="str">
        <f>IF(AND('Mapa de Riesgos'!$Z$70="Baja",'Mapa de Riesgos'!$AB$70="Moderado"),CONCATENATE("R10C",'Mapa de Riesgos'!$P$70),"")</f>
        <v/>
      </c>
      <c r="AB45" s="16" t="str">
        <f>IF(AND('Mapa de Riesgos'!$Z$65="Baja",'Mapa de Riesgos'!$AB$65="Mayor"),CONCATENATE("R10C",'Mapa de Riesgos'!$P$65),"")</f>
        <v/>
      </c>
      <c r="AC45" s="17" t="str">
        <f>IF(AND('Mapa de Riesgos'!$Z$66="Baja",'Mapa de Riesgos'!$AB$66="Mayor"),CONCATENATE("R10C",'Mapa de Riesgos'!$P$66),"")</f>
        <v/>
      </c>
      <c r="AD45" s="17" t="str">
        <f>IF(AND('Mapa de Riesgos'!$Z$67="Baja",'Mapa de Riesgos'!$AB$67="Mayor"),CONCATENATE("R10C",'Mapa de Riesgos'!$P$67),"")</f>
        <v/>
      </c>
      <c r="AE45" s="17" t="str">
        <f>IF(AND('Mapa de Riesgos'!$Z$68="Baja",'Mapa de Riesgos'!$AB$68="Mayor"),CONCATENATE("R10C",'Mapa de Riesgos'!$P$68),"")</f>
        <v/>
      </c>
      <c r="AF45" s="17" t="str">
        <f>IF(AND('Mapa de Riesgos'!$Z$69="Baja",'Mapa de Riesgos'!$AB$69="Mayor"),CONCATENATE("R10C",'Mapa de Riesgos'!$P$69),"")</f>
        <v/>
      </c>
      <c r="AG45" s="18" t="str">
        <f>IF(AND('Mapa de Riesgos'!$Z$70="Baja",'Mapa de Riesgos'!$AB$70="Mayor"),CONCATENATE("R10C",'Mapa de Riesgos'!$P$70),"")</f>
        <v/>
      </c>
      <c r="AH45" s="19" t="str">
        <f>IF(AND('Mapa de Riesgos'!$Z$65="Baja",'Mapa de Riesgos'!$AB$65="Catastrófico"),CONCATENATE("R10C",'Mapa de Riesgos'!$P$65),"")</f>
        <v/>
      </c>
      <c r="AI45" s="20" t="str">
        <f>IF(AND('Mapa de Riesgos'!$Z$66="Baja",'Mapa de Riesgos'!$AB$66="Catastrófico"),CONCATENATE("R10C",'Mapa de Riesgos'!$P$66),"")</f>
        <v/>
      </c>
      <c r="AJ45" s="20" t="str">
        <f>IF(AND('Mapa de Riesgos'!$Z$67="Baja",'Mapa de Riesgos'!$AB$67="Catastrófico"),CONCATENATE("R10C",'Mapa de Riesgos'!$P$67),"")</f>
        <v/>
      </c>
      <c r="AK45" s="20" t="str">
        <f>IF(AND('Mapa de Riesgos'!$Z$68="Baja",'Mapa de Riesgos'!$AB$68="Catastrófico"),CONCATENATE("R10C",'Mapa de Riesgos'!$P$68),"")</f>
        <v/>
      </c>
      <c r="AL45" s="20" t="str">
        <f>IF(AND('Mapa de Riesgos'!$Z$69="Baja",'Mapa de Riesgos'!$AB$69="Catastrófico"),CONCATENATE("R10C",'Mapa de Riesgos'!$P$69),"")</f>
        <v/>
      </c>
      <c r="AM45" s="21" t="str">
        <f>IF(AND('Mapa de Riesgos'!$Z$70="Baja",'Mapa de Riesgos'!$AB$70="Catastrófico"),CONCATENATE("R10C",'Mapa de Riesgos'!$P$70),"")</f>
        <v/>
      </c>
      <c r="AN45" s="41"/>
      <c r="AO45" s="462"/>
      <c r="AP45" s="463"/>
      <c r="AQ45" s="463"/>
      <c r="AR45" s="463"/>
      <c r="AS45" s="463"/>
      <c r="AT45" s="464"/>
    </row>
    <row r="46" spans="1:80" ht="46.5" customHeight="1" x14ac:dyDescent="0.35">
      <c r="A46" s="41"/>
      <c r="B46" s="340"/>
      <c r="C46" s="340"/>
      <c r="D46" s="341"/>
      <c r="E46" s="435" t="s">
        <v>119</v>
      </c>
      <c r="F46" s="436"/>
      <c r="G46" s="436"/>
      <c r="H46" s="436"/>
      <c r="I46" s="453"/>
      <c r="J46" s="31" t="str">
        <f>IF(AND('Mapa de Riesgos'!$Z$11="Muy Baja",'Mapa de Riesgos'!$AB$11="Leve"),CONCATENATE("R1C",'Mapa de Riesgos'!$P$11),"")</f>
        <v/>
      </c>
      <c r="K46" s="32" t="str">
        <f>IF(AND('Mapa de Riesgos'!$Z$12="Muy Baja",'Mapa de Riesgos'!$AB$12="Leve"),CONCATENATE("R1C",'Mapa de Riesgos'!$P$12),"")</f>
        <v>R1C2</v>
      </c>
      <c r="L46" s="32" t="str">
        <f>IF(AND('Mapa de Riesgos'!$Z$13="Muy Baja",'Mapa de Riesgos'!$AB$13="Leve"),CONCATENATE("R1C",'Mapa de Riesgos'!$P$13),"")</f>
        <v/>
      </c>
      <c r="M46" s="32" t="str">
        <f>IF(AND('Mapa de Riesgos'!$Z$14="Muy Baja",'Mapa de Riesgos'!$AB$14="Leve"),CONCATENATE("R1C",'Mapa de Riesgos'!$P$14),"")</f>
        <v/>
      </c>
      <c r="N46" s="32" t="str">
        <f>IF(AND('Mapa de Riesgos'!$Z$15="Muy Baja",'Mapa de Riesgos'!$AB$15="Leve"),CONCATENATE("R1C",'Mapa de Riesgos'!$P$15),"")</f>
        <v/>
      </c>
      <c r="O46" s="33" t="str">
        <f>IF(AND('Mapa de Riesgos'!$Z$16="Muy Baja",'Mapa de Riesgos'!$AB$16="Leve"),CONCATENATE("R1C",'Mapa de Riesgos'!$P$16),"")</f>
        <v/>
      </c>
      <c r="P46" s="31" t="str">
        <f>IF(AND('Mapa de Riesgos'!$Z$11="Muy Baja",'Mapa de Riesgos'!$AB$11="Menor"),CONCATENATE("R1C",'Mapa de Riesgos'!$P$11),"")</f>
        <v/>
      </c>
      <c r="Q46" s="32" t="str">
        <f>IF(AND('Mapa de Riesgos'!$Z$12="Muy Baja",'Mapa de Riesgos'!$AB$12="Menor"),CONCATENATE("R1C",'Mapa de Riesgos'!$P$12),"")</f>
        <v/>
      </c>
      <c r="R46" s="32" t="str">
        <f>IF(AND('Mapa de Riesgos'!$Z$13="Muy Baja",'Mapa de Riesgos'!$AB$13="Menor"),CONCATENATE("R1C",'Mapa de Riesgos'!$P$13),"")</f>
        <v/>
      </c>
      <c r="S46" s="32" t="str">
        <f>IF(AND('Mapa de Riesgos'!$Z$14="Muy Baja",'Mapa de Riesgos'!$AB$14="Menor"),CONCATENATE("R1C",'Mapa de Riesgos'!$P$14),"")</f>
        <v/>
      </c>
      <c r="T46" s="32" t="str">
        <f>IF(AND('Mapa de Riesgos'!$Z$15="Muy Baja",'Mapa de Riesgos'!$AB$15="Menor"),CONCATENATE("R1C",'Mapa de Riesgos'!$P$15),"")</f>
        <v/>
      </c>
      <c r="U46" s="33" t="str">
        <f>IF(AND('Mapa de Riesgos'!$Z$16="Muy Baja",'Mapa de Riesgos'!$AB$16="Menor"),CONCATENATE("R1C",'Mapa de Riesgos'!$P$16),"")</f>
        <v/>
      </c>
      <c r="V46" s="22" t="str">
        <f>IF(AND('Mapa de Riesgos'!$Z$11="Muy Baja",'Mapa de Riesgos'!$AB$11="Moderado"),CONCATENATE("R1C",'Mapa de Riesgos'!$P$11),"")</f>
        <v/>
      </c>
      <c r="W46" s="40" t="str">
        <f>IF(AND('Mapa de Riesgos'!$Z$12="Muy Baja",'Mapa de Riesgos'!$AB$12="Moderado"),CONCATENATE("R1C",'Mapa de Riesgos'!$P$12),"")</f>
        <v/>
      </c>
      <c r="X46" s="23" t="str">
        <f>IF(AND('Mapa de Riesgos'!$Z$13="Muy Baja",'Mapa de Riesgos'!$AB$13="Moderado"),CONCATENATE("R1C",'Mapa de Riesgos'!$P$13),"")</f>
        <v/>
      </c>
      <c r="Y46" s="23" t="str">
        <f>IF(AND('Mapa de Riesgos'!$Z$14="Muy Baja",'Mapa de Riesgos'!$AB$14="Moderado"),CONCATENATE("R1C",'Mapa de Riesgos'!$P$14),"")</f>
        <v/>
      </c>
      <c r="Z46" s="23" t="str">
        <f>IF(AND('Mapa de Riesgos'!$Z$15="Muy Baja",'Mapa de Riesgos'!$AB$15="Moderado"),CONCATENATE("R1C",'Mapa de Riesgos'!$P$15),"")</f>
        <v/>
      </c>
      <c r="AA46" s="24" t="str">
        <f>IF(AND('Mapa de Riesgos'!$Z$16="Muy Baja",'Mapa de Riesgos'!$AB$16="Moderado"),CONCATENATE("R1C",'Mapa de Riesgos'!$P$16),"")</f>
        <v/>
      </c>
      <c r="AB46" s="4" t="str">
        <f>IF(AND('Mapa de Riesgos'!$Z$11="Muy Baja",'Mapa de Riesgos'!$AB$11="Mayor"),CONCATENATE("R1C",'Mapa de Riesgos'!$P$11),"")</f>
        <v>R1C1</v>
      </c>
      <c r="AC46" s="5" t="str">
        <f>IF(AND('Mapa de Riesgos'!$Z$12="Muy Baja",'Mapa de Riesgos'!$AB$12="Mayor"),CONCATENATE("R1C",'Mapa de Riesgos'!$P$12),"")</f>
        <v/>
      </c>
      <c r="AD46" s="5" t="str">
        <f>IF(AND('Mapa de Riesgos'!$Z$13="Muy Baja",'Mapa de Riesgos'!$AB$13="Mayor"),CONCATENATE("R1C",'Mapa de Riesgos'!$P$13),"")</f>
        <v/>
      </c>
      <c r="AE46" s="5" t="str">
        <f>IF(AND('Mapa de Riesgos'!$Z$14="Muy Baja",'Mapa de Riesgos'!$AB$14="Mayor"),CONCATENATE("R1C",'Mapa de Riesgos'!$P$14),"")</f>
        <v/>
      </c>
      <c r="AF46" s="5" t="str">
        <f>IF(AND('Mapa de Riesgos'!$Z$15="Muy Baja",'Mapa de Riesgos'!$AB$15="Mayor"),CONCATENATE("R1C",'Mapa de Riesgos'!$P$15),"")</f>
        <v/>
      </c>
      <c r="AG46" s="6" t="str">
        <f>IF(AND('Mapa de Riesgos'!$Z$16="Muy Baja",'Mapa de Riesgos'!$AB$16="Mayor"),CONCATENATE("R1C",'Mapa de Riesgos'!$P$16),"")</f>
        <v/>
      </c>
      <c r="AH46" s="7" t="str">
        <f>IF(AND('Mapa de Riesgos'!$Z$11="Muy Baja",'Mapa de Riesgos'!$AB$11="Catastrófico"),CONCATENATE("R1C",'Mapa de Riesgos'!$P$11),"")</f>
        <v/>
      </c>
      <c r="AI46" s="8" t="str">
        <f>IF(AND('Mapa de Riesgos'!$Z$12="Muy Baja",'Mapa de Riesgos'!$AB$12="Catastrófico"),CONCATENATE("R1C",'Mapa de Riesgos'!$P$12),"")</f>
        <v/>
      </c>
      <c r="AJ46" s="8" t="str">
        <f>IF(AND('Mapa de Riesgos'!$Z$13="Muy Baja",'Mapa de Riesgos'!$AB$13="Catastrófico"),CONCATENATE("R1C",'Mapa de Riesgos'!$P$13),"")</f>
        <v/>
      </c>
      <c r="AK46" s="8" t="str">
        <f>IF(AND('Mapa de Riesgos'!$Z$14="Muy Baja",'Mapa de Riesgos'!$AB$14="Catastrófico"),CONCATENATE("R1C",'Mapa de Riesgos'!$P$14),"")</f>
        <v/>
      </c>
      <c r="AL46" s="8" t="str">
        <f>IF(AND('Mapa de Riesgos'!$Z$15="Muy Baja",'Mapa de Riesgos'!$AB$15="Catastrófico"),CONCATENATE("R1C",'Mapa de Riesgos'!$P$15),"")</f>
        <v/>
      </c>
      <c r="AM46" s="9" t="str">
        <f>IF(AND('Mapa de Riesgos'!$Z$16="Muy Baja",'Mapa de Riesgos'!$AB$16="Catastrófico"),CONCATENATE("R1C",'Mapa de Riesgos'!$P$16),"")</f>
        <v/>
      </c>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ht="46.5" customHeight="1" x14ac:dyDescent="0.25">
      <c r="A47" s="41"/>
      <c r="B47" s="340"/>
      <c r="C47" s="340"/>
      <c r="D47" s="341"/>
      <c r="E47" s="437"/>
      <c r="F47" s="438"/>
      <c r="G47" s="438"/>
      <c r="H47" s="438"/>
      <c r="I47" s="454"/>
      <c r="J47" s="34" t="str">
        <f>IF(AND('Mapa de Riesgos'!$Z$29="Muy Baja",'Mapa de Riesgos'!$AB$29="Leve"),CONCATENATE("R2C",'Mapa de Riesgos'!$P$29),"")</f>
        <v/>
      </c>
      <c r="K47" s="35" t="str">
        <f>IF(AND('Mapa de Riesgos'!$Z$30="Muy Baja",'Mapa de Riesgos'!$AB$30="Leve"),CONCATENATE("R2C",'Mapa de Riesgos'!$P$30),"")</f>
        <v/>
      </c>
      <c r="L47" s="35" t="str">
        <f>IF(AND('Mapa de Riesgos'!$Z$31="Muy Baja",'Mapa de Riesgos'!$AB$31="Leve"),CONCATENATE("R2C",'Mapa de Riesgos'!$P$31),"")</f>
        <v/>
      </c>
      <c r="M47" s="35" t="str">
        <f>IF(AND('Mapa de Riesgos'!$Z$32="Muy Baja",'Mapa de Riesgos'!$AB$32="Leve"),CONCATENATE("R2C",'Mapa de Riesgos'!$P$32),"")</f>
        <v/>
      </c>
      <c r="N47" s="35" t="str">
        <f>IF(AND('Mapa de Riesgos'!$Z$33="Muy Baja",'Mapa de Riesgos'!$AB$33="Leve"),CONCATENATE("R2C",'Mapa de Riesgos'!$P$33),"")</f>
        <v/>
      </c>
      <c r="O47" s="36" t="str">
        <f>IF(AND('Mapa de Riesgos'!$Z$34="Muy Baja",'Mapa de Riesgos'!$AB$34="Leve"),CONCATENATE("R2C",'Mapa de Riesgos'!$P$34),"")</f>
        <v/>
      </c>
      <c r="P47" s="34" t="str">
        <f>IF(AND('Mapa de Riesgos'!$Z$29="Muy Baja",'Mapa de Riesgos'!$AB$29="Menor"),CONCATENATE("R2C",'Mapa de Riesgos'!$P$29),"")</f>
        <v/>
      </c>
      <c r="Q47" s="35" t="str">
        <f>IF(AND('Mapa de Riesgos'!$Z$30="Muy Baja",'Mapa de Riesgos'!$AB$30="Menor"),CONCATENATE("R2C",'Mapa de Riesgos'!$P$30),"")</f>
        <v/>
      </c>
      <c r="R47" s="35" t="str">
        <f>IF(AND('Mapa de Riesgos'!$Z$31="Muy Baja",'Mapa de Riesgos'!$AB$31="Menor"),CONCATENATE("R2C",'Mapa de Riesgos'!$P$31),"")</f>
        <v/>
      </c>
      <c r="S47" s="35" t="str">
        <f>IF(AND('Mapa de Riesgos'!$Z$32="Muy Baja",'Mapa de Riesgos'!$AB$32="Menor"),CONCATENATE("R2C",'Mapa de Riesgos'!$P$32),"")</f>
        <v/>
      </c>
      <c r="T47" s="35" t="str">
        <f>IF(AND('Mapa de Riesgos'!$Z$33="Muy Baja",'Mapa de Riesgos'!$AB$33="Menor"),CONCATENATE("R2C",'Mapa de Riesgos'!$P$33),"")</f>
        <v/>
      </c>
      <c r="U47" s="36" t="str">
        <f>IF(AND('Mapa de Riesgos'!$Z$34="Muy Baja",'Mapa de Riesgos'!$AB$34="Menor"),CONCATENATE("R2C",'Mapa de Riesgos'!$P$34),"")</f>
        <v/>
      </c>
      <c r="V47" s="25" t="str">
        <f>IF(AND('Mapa de Riesgos'!$Z$29="Muy Baja",'Mapa de Riesgos'!$AB$29="Moderado"),CONCATENATE("R2C",'Mapa de Riesgos'!$P$29),"")</f>
        <v/>
      </c>
      <c r="W47" s="26" t="str">
        <f>IF(AND('Mapa de Riesgos'!$Z$30="Muy Baja",'Mapa de Riesgos'!$AB$30="Moderado"),CONCATENATE("R2C",'Mapa de Riesgos'!$P$30),"")</f>
        <v/>
      </c>
      <c r="X47" s="26" t="str">
        <f>IF(AND('Mapa de Riesgos'!$Z$31="Muy Baja",'Mapa de Riesgos'!$AB$31="Moderado"),CONCATENATE("R2C",'Mapa de Riesgos'!$P$31),"")</f>
        <v/>
      </c>
      <c r="Y47" s="26" t="str">
        <f>IF(AND('Mapa de Riesgos'!$Z$32="Muy Baja",'Mapa de Riesgos'!$AB$32="Moderado"),CONCATENATE("R2C",'Mapa de Riesgos'!$P$32),"")</f>
        <v/>
      </c>
      <c r="Z47" s="26" t="str">
        <f>IF(AND('Mapa de Riesgos'!$Z$33="Muy Baja",'Mapa de Riesgos'!$AB$33="Moderado"),CONCATENATE("R2C",'Mapa de Riesgos'!$P$33),"")</f>
        <v/>
      </c>
      <c r="AA47" s="27" t="str">
        <f>IF(AND('Mapa de Riesgos'!$Z$34="Muy Baja",'Mapa de Riesgos'!$AB$34="Moderado"),CONCATENATE("R2C",'Mapa de Riesgos'!$P$34),"")</f>
        <v/>
      </c>
      <c r="AB47" s="10" t="str">
        <f>IF(AND('Mapa de Riesgos'!$Z$29="Muy Baja",'Mapa de Riesgos'!$AB$29="Mayor"),CONCATENATE("R2C",'Mapa de Riesgos'!$P$29),"")</f>
        <v>R2C1</v>
      </c>
      <c r="AC47" s="11" t="str">
        <f>IF(AND('Mapa de Riesgos'!$Z$30="Muy Baja",'Mapa de Riesgos'!$AB$30="Mayor"),CONCATENATE("R2C",'Mapa de Riesgos'!$P$30),"")</f>
        <v/>
      </c>
      <c r="AD47" s="11" t="str">
        <f>IF(AND('Mapa de Riesgos'!$Z$31="Muy Baja",'Mapa de Riesgos'!$AB$31="Mayor"),CONCATENATE("R2C",'Mapa de Riesgos'!$P$31),"")</f>
        <v/>
      </c>
      <c r="AE47" s="11" t="str">
        <f>IF(AND('Mapa de Riesgos'!$Z$32="Muy Baja",'Mapa de Riesgos'!$AB$32="Mayor"),CONCATENATE("R2C",'Mapa de Riesgos'!$P$32),"")</f>
        <v/>
      </c>
      <c r="AF47" s="11" t="str">
        <f>IF(AND('Mapa de Riesgos'!$Z$33="Muy Baja",'Mapa de Riesgos'!$AB$33="Mayor"),CONCATENATE("R2C",'Mapa de Riesgos'!$P$33),"")</f>
        <v/>
      </c>
      <c r="AG47" s="12" t="str">
        <f>IF(AND('Mapa de Riesgos'!$Z$34="Muy Baja",'Mapa de Riesgos'!$AB$34="Mayor"),CONCATENATE("R2C",'Mapa de Riesgos'!$P$34),"")</f>
        <v/>
      </c>
      <c r="AH47" s="13" t="str">
        <f>IF(AND('Mapa de Riesgos'!$Z$29="Muy Baja",'Mapa de Riesgos'!$AB$29="Catastrófico"),CONCATENATE("R2C",'Mapa de Riesgos'!$P$29),"")</f>
        <v/>
      </c>
      <c r="AI47" s="14" t="str">
        <f>IF(AND('Mapa de Riesgos'!$Z$30="Muy Baja",'Mapa de Riesgos'!$AB$30="Catastrófico"),CONCATENATE("R2C",'Mapa de Riesgos'!$P$30),"")</f>
        <v/>
      </c>
      <c r="AJ47" s="14" t="str">
        <f>IF(AND('Mapa de Riesgos'!$Z$31="Muy Baja",'Mapa de Riesgos'!$AB$31="Catastrófico"),CONCATENATE("R2C",'Mapa de Riesgos'!$P$31),"")</f>
        <v/>
      </c>
      <c r="AK47" s="14" t="str">
        <f>IF(AND('Mapa de Riesgos'!$Z$32="Muy Baja",'Mapa de Riesgos'!$AB$32="Catastrófico"),CONCATENATE("R2C",'Mapa de Riesgos'!$P$32),"")</f>
        <v/>
      </c>
      <c r="AL47" s="14" t="str">
        <f>IF(AND('Mapa de Riesgos'!$Z$33="Muy Baja",'Mapa de Riesgos'!$AB$33="Catastrófico"),CONCATENATE("R2C",'Mapa de Riesgos'!$P$33),"")</f>
        <v/>
      </c>
      <c r="AM47" s="15" t="str">
        <f>IF(AND('Mapa de Riesgos'!$Z$34="Muy Baja",'Mapa de Riesgos'!$AB$34="Catastrófico"),CONCATENATE("R2C",'Mapa de Riesgos'!$P$34),"")</f>
        <v/>
      </c>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ht="15" customHeight="1" x14ac:dyDescent="0.25">
      <c r="A48" s="41"/>
      <c r="B48" s="340"/>
      <c r="C48" s="340"/>
      <c r="D48" s="341"/>
      <c r="E48" s="437"/>
      <c r="F48" s="438"/>
      <c r="G48" s="438"/>
      <c r="H48" s="438"/>
      <c r="I48" s="454"/>
      <c r="J48" s="34" t="str">
        <f>IF(AND('Mapa de Riesgos'!$Z$35="Muy Baja",'Mapa de Riesgos'!$AB$35="Leve"),CONCATENATE("R3C",'Mapa de Riesgos'!$P$35),"")</f>
        <v>R3C1</v>
      </c>
      <c r="K48" s="35" t="str">
        <f>IF(AND('Mapa de Riesgos'!$Z$36="Muy Baja",'Mapa de Riesgos'!$AB$36="Leve"),CONCATENATE("R3C",'Mapa de Riesgos'!$P$36),"")</f>
        <v/>
      </c>
      <c r="L48" s="35" t="str">
        <f>IF(AND('Mapa de Riesgos'!$Z$37="Muy Baja",'Mapa de Riesgos'!$AB$37="Leve"),CONCATENATE("R3C",'Mapa de Riesgos'!$P$37),"")</f>
        <v/>
      </c>
      <c r="M48" s="35" t="str">
        <f>IF(AND('Mapa de Riesgos'!$Z$38="Muy Baja",'Mapa de Riesgos'!$AB$38="Leve"),CONCATENATE("R3C",'Mapa de Riesgos'!$P$38),"")</f>
        <v/>
      </c>
      <c r="N48" s="35" t="str">
        <f>IF(AND('Mapa de Riesgos'!$Z$39="Muy Baja",'Mapa de Riesgos'!$AB$39="Leve"),CONCATENATE("R3C",'Mapa de Riesgos'!$P$39),"")</f>
        <v/>
      </c>
      <c r="O48" s="36" t="str">
        <f>IF(AND('Mapa de Riesgos'!$Z$40="Muy Baja",'Mapa de Riesgos'!$AB$40="Leve"),CONCATENATE("R3C",'Mapa de Riesgos'!$P$40),"")</f>
        <v/>
      </c>
      <c r="P48" s="34" t="str">
        <f>IF(AND('Mapa de Riesgos'!$Z$35="Muy Baja",'Mapa de Riesgos'!$AB$35="Menor"),CONCATENATE("R3C",'Mapa de Riesgos'!$P$35),"")</f>
        <v/>
      </c>
      <c r="Q48" s="35" t="str">
        <f>IF(AND('Mapa de Riesgos'!$Z$36="Muy Baja",'Mapa de Riesgos'!$AB$36="Menor"),CONCATENATE("R3C",'Mapa de Riesgos'!$P$36),"")</f>
        <v/>
      </c>
      <c r="R48" s="35" t="str">
        <f>IF(AND('Mapa de Riesgos'!$Z$37="Muy Baja",'Mapa de Riesgos'!$AB$37="Menor"),CONCATENATE("R3C",'Mapa de Riesgos'!$P$37),"")</f>
        <v/>
      </c>
      <c r="S48" s="35" t="str">
        <f>IF(AND('Mapa de Riesgos'!$Z$38="Muy Baja",'Mapa de Riesgos'!$AB$38="Menor"),CONCATENATE("R3C",'Mapa de Riesgos'!$P$38),"")</f>
        <v/>
      </c>
      <c r="T48" s="35" t="str">
        <f>IF(AND('Mapa de Riesgos'!$Z$39="Muy Baja",'Mapa de Riesgos'!$AB$39="Menor"),CONCATENATE("R3C",'Mapa de Riesgos'!$P$39),"")</f>
        <v/>
      </c>
      <c r="U48" s="36" t="str">
        <f>IF(AND('Mapa de Riesgos'!$Z$40="Muy Baja",'Mapa de Riesgos'!$AB$40="Menor"),CONCATENATE("R3C",'Mapa de Riesgos'!$P$40),"")</f>
        <v/>
      </c>
      <c r="V48" s="25" t="str">
        <f>IF(AND('Mapa de Riesgos'!$Z$35="Muy Baja",'Mapa de Riesgos'!$AB$35="Moderado"),CONCATENATE("R3C",'Mapa de Riesgos'!$P$35),"")</f>
        <v/>
      </c>
      <c r="W48" s="26" t="str">
        <f>IF(AND('Mapa de Riesgos'!$Z$36="Muy Baja",'Mapa de Riesgos'!$AB$36="Moderado"),CONCATENATE("R3C",'Mapa de Riesgos'!$P$36),"")</f>
        <v/>
      </c>
      <c r="X48" s="26" t="str">
        <f>IF(AND('Mapa de Riesgos'!$Z$37="Muy Baja",'Mapa de Riesgos'!$AB$37="Moderado"),CONCATENATE("R3C",'Mapa de Riesgos'!$P$37),"")</f>
        <v/>
      </c>
      <c r="Y48" s="26" t="str">
        <f>IF(AND('Mapa de Riesgos'!$Z$38="Muy Baja",'Mapa de Riesgos'!$AB$38="Moderado"),CONCATENATE("R3C",'Mapa de Riesgos'!$P$38),"")</f>
        <v/>
      </c>
      <c r="Z48" s="26" t="str">
        <f>IF(AND('Mapa de Riesgos'!$Z$39="Muy Baja",'Mapa de Riesgos'!$AB$39="Moderado"),CONCATENATE("R3C",'Mapa de Riesgos'!$P$39),"")</f>
        <v/>
      </c>
      <c r="AA48" s="27" t="str">
        <f>IF(AND('Mapa de Riesgos'!$Z$40="Muy Baja",'Mapa de Riesgos'!$AB$40="Moderado"),CONCATENATE("R3C",'Mapa de Riesgos'!$P$40),"")</f>
        <v/>
      </c>
      <c r="AB48" s="10" t="str">
        <f>IF(AND('Mapa de Riesgos'!$Z$35="Muy Baja",'Mapa de Riesgos'!$AB$35="Mayor"),CONCATENATE("R3C",'Mapa de Riesgos'!$P$35),"")</f>
        <v/>
      </c>
      <c r="AC48" s="11" t="str">
        <f>IF(AND('Mapa de Riesgos'!$Z$36="Muy Baja",'Mapa de Riesgos'!$AB$36="Mayor"),CONCATENATE("R3C",'Mapa de Riesgos'!$P$36),"")</f>
        <v/>
      </c>
      <c r="AD48" s="11" t="str">
        <f>IF(AND('Mapa de Riesgos'!$Z$37="Muy Baja",'Mapa de Riesgos'!$AB$37="Mayor"),CONCATENATE("R3C",'Mapa de Riesgos'!$P$37),"")</f>
        <v/>
      </c>
      <c r="AE48" s="11" t="str">
        <f>IF(AND('Mapa de Riesgos'!$Z$38="Muy Baja",'Mapa de Riesgos'!$AB$38="Mayor"),CONCATENATE("R3C",'Mapa de Riesgos'!$P$38),"")</f>
        <v/>
      </c>
      <c r="AF48" s="11" t="str">
        <f>IF(AND('Mapa de Riesgos'!$Z$39="Muy Baja",'Mapa de Riesgos'!$AB$39="Mayor"),CONCATENATE("R3C",'Mapa de Riesgos'!$P$39),"")</f>
        <v/>
      </c>
      <c r="AG48" s="12" t="str">
        <f>IF(AND('Mapa de Riesgos'!$Z$40="Muy Baja",'Mapa de Riesgos'!$AB$40="Mayor"),CONCATENATE("R3C",'Mapa de Riesgos'!$P$40),"")</f>
        <v/>
      </c>
      <c r="AH48" s="13" t="str">
        <f>IF(AND('Mapa de Riesgos'!$Z$35="Muy Baja",'Mapa de Riesgos'!$AB$35="Catastrófico"),CONCATENATE("R3C",'Mapa de Riesgos'!$P$35),"")</f>
        <v/>
      </c>
      <c r="AI48" s="14" t="str">
        <f>IF(AND('Mapa de Riesgos'!$Z$36="Muy Baja",'Mapa de Riesgos'!$AB$36="Catastrófico"),CONCATENATE("R3C",'Mapa de Riesgos'!$P$36),"")</f>
        <v/>
      </c>
      <c r="AJ48" s="14" t="str">
        <f>IF(AND('Mapa de Riesgos'!$Z$37="Muy Baja",'Mapa de Riesgos'!$AB$37="Catastrófico"),CONCATENATE("R3C",'Mapa de Riesgos'!$P$37),"")</f>
        <v/>
      </c>
      <c r="AK48" s="14" t="str">
        <f>IF(AND('Mapa de Riesgos'!$Z$38="Muy Baja",'Mapa de Riesgos'!$AB$38="Catastrófico"),CONCATENATE("R3C",'Mapa de Riesgos'!$P$38),"")</f>
        <v/>
      </c>
      <c r="AL48" s="14" t="str">
        <f>IF(AND('Mapa de Riesgos'!$Z$39="Muy Baja",'Mapa de Riesgos'!$AB$39="Catastrófico"),CONCATENATE("R3C",'Mapa de Riesgos'!$P$39),"")</f>
        <v/>
      </c>
      <c r="AM48" s="15" t="str">
        <f>IF(AND('Mapa de Riesgos'!$Z$40="Muy Baja",'Mapa de Riesgos'!$AB$40="Catastrófico"),CONCATENATE("R3C",'Mapa de Riesgos'!$P$40),"")</f>
        <v/>
      </c>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ht="15" customHeight="1" x14ac:dyDescent="0.25">
      <c r="A49" s="41"/>
      <c r="B49" s="340"/>
      <c r="C49" s="340"/>
      <c r="D49" s="341"/>
      <c r="E49" s="439"/>
      <c r="F49" s="438"/>
      <c r="G49" s="438"/>
      <c r="H49" s="438"/>
      <c r="I49" s="454"/>
      <c r="J49" s="34" t="str">
        <f>IF(AND('Mapa de Riesgos'!$Z$47="Muy Baja",'Mapa de Riesgos'!$AB$47="Leve"),CONCATENATE("R4C",'Mapa de Riesgos'!$P$47),"")</f>
        <v>R4C1</v>
      </c>
      <c r="K49" s="35" t="str">
        <f>IF(AND('Mapa de Riesgos'!$Z$48="Muy Baja",'Mapa de Riesgos'!$AB$48="Leve"),CONCATENATE("R4C",'Mapa de Riesgos'!$P$48),"")</f>
        <v/>
      </c>
      <c r="L49" s="35" t="str">
        <f>IF(AND('Mapa de Riesgos'!$Z$49="Muy Baja",'Mapa de Riesgos'!$AB$49="Leve"),CONCATENATE("R4C",'Mapa de Riesgos'!$P$49),"")</f>
        <v/>
      </c>
      <c r="M49" s="35" t="str">
        <f>IF(AND('Mapa de Riesgos'!$Z$50="Muy Baja",'Mapa de Riesgos'!$AB$50="Leve"),CONCATENATE("R4C",'Mapa de Riesgos'!$P$50),"")</f>
        <v/>
      </c>
      <c r="N49" s="35" t="str">
        <f>IF(AND('Mapa de Riesgos'!$Z$51="Muy Baja",'Mapa de Riesgos'!$AB$51="Leve"),CONCATENATE("R4C",'Mapa de Riesgos'!$P$51),"")</f>
        <v/>
      </c>
      <c r="O49" s="36" t="str">
        <f>IF(AND('Mapa de Riesgos'!$Z$52="Muy Baja",'Mapa de Riesgos'!$AB$52="Leve"),CONCATENATE("R4C",'Mapa de Riesgos'!$P$52),"")</f>
        <v/>
      </c>
      <c r="P49" s="34" t="str">
        <f>IF(AND('Mapa de Riesgos'!$Z$47="Muy Baja",'Mapa de Riesgos'!$AB$47="Menor"),CONCATENATE("R4C",'Mapa de Riesgos'!$P$47),"")</f>
        <v/>
      </c>
      <c r="Q49" s="35" t="str">
        <f>IF(AND('Mapa de Riesgos'!$Z$48="Muy Baja",'Mapa de Riesgos'!$AB$48="Menor"),CONCATENATE("R4C",'Mapa de Riesgos'!$P$48),"")</f>
        <v/>
      </c>
      <c r="R49" s="35" t="str">
        <f>IF(AND('Mapa de Riesgos'!$Z$49="Muy Baja",'Mapa de Riesgos'!$AB$49="Menor"),CONCATENATE("R4C",'Mapa de Riesgos'!$P$49),"")</f>
        <v/>
      </c>
      <c r="S49" s="35" t="str">
        <f>IF(AND('Mapa de Riesgos'!$Z$50="Muy Baja",'Mapa de Riesgos'!$AB$50="Menor"),CONCATENATE("R4C",'Mapa de Riesgos'!$P$50),"")</f>
        <v/>
      </c>
      <c r="T49" s="35" t="str">
        <f>IF(AND('Mapa de Riesgos'!$Z$51="Muy Baja",'Mapa de Riesgos'!$AB$51="Menor"),CONCATENATE("R4C",'Mapa de Riesgos'!$P$51),"")</f>
        <v/>
      </c>
      <c r="U49" s="36" t="str">
        <f>IF(AND('Mapa de Riesgos'!$Z$52="Muy Baja",'Mapa de Riesgos'!$AB$52="Menor"),CONCATENATE("R4C",'Mapa de Riesgos'!$P$52),"")</f>
        <v/>
      </c>
      <c r="V49" s="25" t="str">
        <f>IF(AND('Mapa de Riesgos'!$Z$47="Muy Baja",'Mapa de Riesgos'!$AB$47="Moderado"),CONCATENATE("R4C",'Mapa de Riesgos'!$P$47),"")</f>
        <v/>
      </c>
      <c r="W49" s="26" t="str">
        <f>IF(AND('Mapa de Riesgos'!$Z$48="Muy Baja",'Mapa de Riesgos'!$AB$48="Moderado"),CONCATENATE("R4C",'Mapa de Riesgos'!$P$48),"")</f>
        <v/>
      </c>
      <c r="X49" s="26" t="str">
        <f>IF(AND('Mapa de Riesgos'!$Z$49="Muy Baja",'Mapa de Riesgos'!$AB$49="Moderado"),CONCATENATE("R4C",'Mapa de Riesgos'!$P$49),"")</f>
        <v/>
      </c>
      <c r="Y49" s="26" t="str">
        <f>IF(AND('Mapa de Riesgos'!$Z$50="Muy Baja",'Mapa de Riesgos'!$AB$50="Moderado"),CONCATENATE("R4C",'Mapa de Riesgos'!$P$50),"")</f>
        <v/>
      </c>
      <c r="Z49" s="26" t="str">
        <f>IF(AND('Mapa de Riesgos'!$Z$51="Muy Baja",'Mapa de Riesgos'!$AB$51="Moderado"),CONCATENATE("R4C",'Mapa de Riesgos'!$P$51),"")</f>
        <v/>
      </c>
      <c r="AA49" s="27" t="str">
        <f>IF(AND('Mapa de Riesgos'!$Z$52="Muy Baja",'Mapa de Riesgos'!$AB$52="Moderado"),CONCATENATE("R4C",'Mapa de Riesgos'!$P$52),"")</f>
        <v/>
      </c>
      <c r="AB49" s="10" t="str">
        <f>IF(AND('Mapa de Riesgos'!$Z$47="Muy Baja",'Mapa de Riesgos'!$AB$47="Mayor"),CONCATENATE("R4C",'Mapa de Riesgos'!$P$47),"")</f>
        <v/>
      </c>
      <c r="AC49" s="11" t="str">
        <f>IF(AND('Mapa de Riesgos'!$Z$48="Muy Baja",'Mapa de Riesgos'!$AB$48="Mayor"),CONCATENATE("R4C",'Mapa de Riesgos'!$P$48),"")</f>
        <v/>
      </c>
      <c r="AD49" s="11" t="str">
        <f>IF(AND('Mapa de Riesgos'!$Z$49="Muy Baja",'Mapa de Riesgos'!$AB$49="Mayor"),CONCATENATE("R4C",'Mapa de Riesgos'!$P$49),"")</f>
        <v/>
      </c>
      <c r="AE49" s="11" t="str">
        <f>IF(AND('Mapa de Riesgos'!$Z$50="Muy Baja",'Mapa de Riesgos'!$AB$50="Mayor"),CONCATENATE("R4C",'Mapa de Riesgos'!$P$50),"")</f>
        <v/>
      </c>
      <c r="AF49" s="11" t="str">
        <f>IF(AND('Mapa de Riesgos'!$Z$51="Muy Baja",'Mapa de Riesgos'!$AB$51="Mayor"),CONCATENATE("R4C",'Mapa de Riesgos'!$P$51),"")</f>
        <v/>
      </c>
      <c r="AG49" s="12" t="str">
        <f>IF(AND('Mapa de Riesgos'!$Z$52="Muy Baja",'Mapa de Riesgos'!$AB$52="Mayor"),CONCATENATE("R4C",'Mapa de Riesgos'!$P$52),"")</f>
        <v/>
      </c>
      <c r="AH49" s="13" t="str">
        <f>IF(AND('Mapa de Riesgos'!$Z$47="Muy Baja",'Mapa de Riesgos'!$AB$47="Catastrófico"),CONCATENATE("R4C",'Mapa de Riesgos'!$P$47),"")</f>
        <v/>
      </c>
      <c r="AI49" s="14" t="str">
        <f>IF(AND('Mapa de Riesgos'!$Z$48="Muy Baja",'Mapa de Riesgos'!$AB$48="Catastrófico"),CONCATENATE("R4C",'Mapa de Riesgos'!$P$48),"")</f>
        <v/>
      </c>
      <c r="AJ49" s="14" t="str">
        <f>IF(AND('Mapa de Riesgos'!$Z$49="Muy Baja",'Mapa de Riesgos'!$AB$49="Catastrófico"),CONCATENATE("R4C",'Mapa de Riesgos'!$P$49),"")</f>
        <v/>
      </c>
      <c r="AK49" s="14" t="str">
        <f>IF(AND('Mapa de Riesgos'!$Z$50="Muy Baja",'Mapa de Riesgos'!$AB$50="Catastrófico"),CONCATENATE("R4C",'Mapa de Riesgos'!$P$50),"")</f>
        <v/>
      </c>
      <c r="AL49" s="14" t="str">
        <f>IF(AND('Mapa de Riesgos'!$Z$51="Muy Baja",'Mapa de Riesgos'!$AB$51="Catastrófico"),CONCATENATE("R4C",'Mapa de Riesgos'!$P$51),"")</f>
        <v/>
      </c>
      <c r="AM49" s="15" t="str">
        <f>IF(AND('Mapa de Riesgos'!$Z$52="Muy Baja",'Mapa de Riesgos'!$AB$52="Catastrófico"),CONCATENATE("R4C",'Mapa de Riesgos'!$P$52),"")</f>
        <v/>
      </c>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ht="15" customHeight="1" x14ac:dyDescent="0.25">
      <c r="A50" s="41"/>
      <c r="B50" s="340"/>
      <c r="C50" s="340"/>
      <c r="D50" s="341"/>
      <c r="E50" s="439"/>
      <c r="F50" s="438"/>
      <c r="G50" s="438"/>
      <c r="H50" s="438"/>
      <c r="I50" s="454"/>
      <c r="J50" s="34" t="e">
        <f>IF(AND('Mapa de Riesgos'!#REF!="Muy Baja",'Mapa de Riesgos'!#REF!="Leve"),CONCATENATE("R5C",'Mapa de Riesgos'!#REF!),"")</f>
        <v>#REF!</v>
      </c>
      <c r="K50" s="35" t="e">
        <f>IF(AND('Mapa de Riesgos'!#REF!="Muy Baja",'Mapa de Riesgos'!#REF!="Leve"),CONCATENATE("R5C",'Mapa de Riesgos'!#REF!),"")</f>
        <v>#REF!</v>
      </c>
      <c r="L50" s="35" t="e">
        <f>IF(AND('Mapa de Riesgos'!#REF!="Muy Baja",'Mapa de Riesgos'!#REF!="Leve"),CONCATENATE("R5C",'Mapa de Riesgos'!#REF!),"")</f>
        <v>#REF!</v>
      </c>
      <c r="M50" s="35" t="e">
        <f>IF(AND('Mapa de Riesgos'!#REF!="Muy Baja",'Mapa de Riesgos'!#REF!="Leve"),CONCATENATE("R5C",'Mapa de Riesgos'!#REF!),"")</f>
        <v>#REF!</v>
      </c>
      <c r="N50" s="35" t="e">
        <f>IF(AND('Mapa de Riesgos'!#REF!="Muy Baja",'Mapa de Riesgos'!#REF!="Leve"),CONCATENATE("R5C",'Mapa de Riesgos'!#REF!),"")</f>
        <v>#REF!</v>
      </c>
      <c r="O50" s="36" t="e">
        <f>IF(AND('Mapa de Riesgos'!#REF!="Muy Baja",'Mapa de Riesgos'!#REF!="Leve"),CONCATENATE("R5C",'Mapa de Riesgos'!#REF!),"")</f>
        <v>#REF!</v>
      </c>
      <c r="P50" s="34" t="e">
        <f>IF(AND('Mapa de Riesgos'!#REF!="Muy Baja",'Mapa de Riesgos'!#REF!="Menor"),CONCATENATE("R5C",'Mapa de Riesgos'!#REF!),"")</f>
        <v>#REF!</v>
      </c>
      <c r="Q50" s="35" t="e">
        <f>IF(AND('Mapa de Riesgos'!#REF!="Muy Baja",'Mapa de Riesgos'!#REF!="Menor"),CONCATENATE("R5C",'Mapa de Riesgos'!#REF!),"")</f>
        <v>#REF!</v>
      </c>
      <c r="R50" s="35" t="e">
        <f>IF(AND('Mapa de Riesgos'!#REF!="Muy Baja",'Mapa de Riesgos'!#REF!="Menor"),CONCATENATE("R5C",'Mapa de Riesgos'!#REF!),"")</f>
        <v>#REF!</v>
      </c>
      <c r="S50" s="35" t="e">
        <f>IF(AND('Mapa de Riesgos'!#REF!="Muy Baja",'Mapa de Riesgos'!#REF!="Menor"),CONCATENATE("R5C",'Mapa de Riesgos'!#REF!),"")</f>
        <v>#REF!</v>
      </c>
      <c r="T50" s="35" t="e">
        <f>IF(AND('Mapa de Riesgos'!#REF!="Muy Baja",'Mapa de Riesgos'!#REF!="Menor"),CONCATENATE("R5C",'Mapa de Riesgos'!#REF!),"")</f>
        <v>#REF!</v>
      </c>
      <c r="U50" s="36" t="e">
        <f>IF(AND('Mapa de Riesgos'!#REF!="Muy Baja",'Mapa de Riesgos'!#REF!="Menor"),CONCATENATE("R5C",'Mapa de Riesgos'!#REF!),"")</f>
        <v>#REF!</v>
      </c>
      <c r="V50" s="25" t="e">
        <f>IF(AND('Mapa de Riesgos'!#REF!="Muy Baja",'Mapa de Riesgos'!#REF!="Moderado"),CONCATENATE("R5C",'Mapa de Riesgos'!#REF!),"")</f>
        <v>#REF!</v>
      </c>
      <c r="W50" s="26" t="e">
        <f>IF(AND('Mapa de Riesgos'!#REF!="Muy Baja",'Mapa de Riesgos'!#REF!="Moderado"),CONCATENATE("R5C",'Mapa de Riesgos'!#REF!),"")</f>
        <v>#REF!</v>
      </c>
      <c r="X50" s="26" t="e">
        <f>IF(AND('Mapa de Riesgos'!#REF!="Muy Baja",'Mapa de Riesgos'!#REF!="Moderado"),CONCATENATE("R5C",'Mapa de Riesgos'!#REF!),"")</f>
        <v>#REF!</v>
      </c>
      <c r="Y50" s="26" t="e">
        <f>IF(AND('Mapa de Riesgos'!#REF!="Muy Baja",'Mapa de Riesgos'!#REF!="Moderado"),CONCATENATE("R5C",'Mapa de Riesgos'!#REF!),"")</f>
        <v>#REF!</v>
      </c>
      <c r="Z50" s="26" t="e">
        <f>IF(AND('Mapa de Riesgos'!#REF!="Muy Baja",'Mapa de Riesgos'!#REF!="Moderado"),CONCATENATE("R5C",'Mapa de Riesgos'!#REF!),"")</f>
        <v>#REF!</v>
      </c>
      <c r="AA50" s="27" t="e">
        <f>IF(AND('Mapa de Riesgos'!#REF!="Muy Baja",'Mapa de Riesgos'!#REF!="Moderado"),CONCATENATE("R5C",'Mapa de Riesgos'!#REF!),"")</f>
        <v>#REF!</v>
      </c>
      <c r="AB50" s="10" t="e">
        <f>IF(AND('Mapa de Riesgos'!#REF!="Muy Baja",'Mapa de Riesgos'!#REF!="Mayor"),CONCATENATE("R5C",'Mapa de Riesgos'!#REF!),"")</f>
        <v>#REF!</v>
      </c>
      <c r="AC50" s="11" t="e">
        <f>IF(AND('Mapa de Riesgos'!#REF!="Muy Baja",'Mapa de Riesgos'!#REF!="Mayor"),CONCATENATE("R5C",'Mapa de Riesgos'!#REF!),"")</f>
        <v>#REF!</v>
      </c>
      <c r="AD50" s="11" t="e">
        <f>IF(AND('Mapa de Riesgos'!#REF!="Muy Baja",'Mapa de Riesgos'!#REF!="Mayor"),CONCATENATE("R5C",'Mapa de Riesgos'!#REF!),"")</f>
        <v>#REF!</v>
      </c>
      <c r="AE50" s="11" t="e">
        <f>IF(AND('Mapa de Riesgos'!#REF!="Muy Baja",'Mapa de Riesgos'!#REF!="Mayor"),CONCATENATE("R5C",'Mapa de Riesgos'!#REF!),"")</f>
        <v>#REF!</v>
      </c>
      <c r="AF50" s="11" t="e">
        <f>IF(AND('Mapa de Riesgos'!#REF!="Muy Baja",'Mapa de Riesgos'!#REF!="Mayor"),CONCATENATE("R5C",'Mapa de Riesgos'!#REF!),"")</f>
        <v>#REF!</v>
      </c>
      <c r="AG50" s="12" t="e">
        <f>IF(AND('Mapa de Riesgos'!#REF!="Muy Baja",'Mapa de Riesgos'!#REF!="Mayor"),CONCATENATE("R5C",'Mapa de Riesgos'!#REF!),"")</f>
        <v>#REF!</v>
      </c>
      <c r="AH50" s="13" t="e">
        <f>IF(AND('Mapa de Riesgos'!#REF!="Muy Baja",'Mapa de Riesgos'!#REF!="Catastrófico"),CONCATENATE("R5C",'Mapa de Riesgos'!#REF!),"")</f>
        <v>#REF!</v>
      </c>
      <c r="AI50" s="14" t="e">
        <f>IF(AND('Mapa de Riesgos'!#REF!="Muy Baja",'Mapa de Riesgos'!#REF!="Catastrófico"),CONCATENATE("R5C",'Mapa de Riesgos'!#REF!),"")</f>
        <v>#REF!</v>
      </c>
      <c r="AJ50" s="14" t="e">
        <f>IF(AND('Mapa de Riesgos'!#REF!="Muy Baja",'Mapa de Riesgos'!#REF!="Catastrófico"),CONCATENATE("R5C",'Mapa de Riesgos'!#REF!),"")</f>
        <v>#REF!</v>
      </c>
      <c r="AK50" s="14" t="e">
        <f>IF(AND('Mapa de Riesgos'!#REF!="Muy Baja",'Mapa de Riesgos'!#REF!="Catastrófico"),CONCATENATE("R5C",'Mapa de Riesgos'!#REF!),"")</f>
        <v>#REF!</v>
      </c>
      <c r="AL50" s="14" t="e">
        <f>IF(AND('Mapa de Riesgos'!#REF!="Muy Baja",'Mapa de Riesgos'!#REF!="Catastrófico"),CONCATENATE("R5C",'Mapa de Riesgos'!#REF!),"")</f>
        <v>#REF!</v>
      </c>
      <c r="AM50" s="15" t="e">
        <f>IF(AND('Mapa de Riesgos'!#REF!="Muy Baja",'Mapa de Riesgos'!#REF!="Catastrófico"),CONCATENATE("R5C",'Mapa de Riesgos'!#REF!),"")</f>
        <v>#REF!</v>
      </c>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 customHeight="1" x14ac:dyDescent="0.25">
      <c r="A51" s="41"/>
      <c r="B51" s="340"/>
      <c r="C51" s="340"/>
      <c r="D51" s="341"/>
      <c r="E51" s="439"/>
      <c r="F51" s="438"/>
      <c r="G51" s="438"/>
      <c r="H51" s="438"/>
      <c r="I51" s="454"/>
      <c r="J51" s="34" t="str">
        <f>IF(AND('Mapa de Riesgos'!$Z$53="Muy Baja",'Mapa de Riesgos'!$AB$53="Leve"),CONCATENATE("R6C",'Mapa de Riesgos'!$P$53),"")</f>
        <v/>
      </c>
      <c r="K51" s="35" t="str">
        <f>IF(AND('Mapa de Riesgos'!$Z$54="Muy Baja",'Mapa de Riesgos'!$AB$54="Leve"),CONCATENATE("R6C",'Mapa de Riesgos'!$P$54),"")</f>
        <v/>
      </c>
      <c r="L51" s="35" t="str">
        <f>IF(AND('Mapa de Riesgos'!$Z$55="Muy Baja",'Mapa de Riesgos'!$AB$55="Leve"),CONCATENATE("R6C",'Mapa de Riesgos'!$P$55),"")</f>
        <v/>
      </c>
      <c r="M51" s="35" t="str">
        <f>IF(AND('Mapa de Riesgos'!$Z$56="Muy Baja",'Mapa de Riesgos'!$AB$56="Leve"),CONCATENATE("R6C",'Mapa de Riesgos'!$P$56),"")</f>
        <v>R6C4</v>
      </c>
      <c r="N51" s="35" t="str">
        <f>IF(AND('Mapa de Riesgos'!$Z$57="Muy Baja",'Mapa de Riesgos'!$AB$57="Leve"),CONCATENATE("R6C",'Mapa de Riesgos'!$P$57),"")</f>
        <v/>
      </c>
      <c r="O51" s="36" t="str">
        <f>IF(AND('Mapa de Riesgos'!$Z$58="Muy Baja",'Mapa de Riesgos'!$AB$58="Leve"),CONCATENATE("R6C",'Mapa de Riesgos'!$P$58),"")</f>
        <v/>
      </c>
      <c r="P51" s="34" t="str">
        <f>IF(AND('Mapa de Riesgos'!$Z$53="Muy Baja",'Mapa de Riesgos'!$AB$53="Menor"),CONCATENATE("R6C",'Mapa de Riesgos'!$P$53),"")</f>
        <v>R6C1</v>
      </c>
      <c r="Q51" s="35" t="str">
        <f>IF(AND('Mapa de Riesgos'!$Z$54="Muy Baja",'Mapa de Riesgos'!$AB$54="Menor"),CONCATENATE("R6C",'Mapa de Riesgos'!$P$54),"")</f>
        <v>R6C2</v>
      </c>
      <c r="R51" s="35" t="str">
        <f>IF(AND('Mapa de Riesgos'!$Z$55="Muy Baja",'Mapa de Riesgos'!$AB$55="Menor"),CONCATENATE("R6C",'Mapa de Riesgos'!$P$55),"")</f>
        <v>R6C3</v>
      </c>
      <c r="S51" s="35" t="str">
        <f>IF(AND('Mapa de Riesgos'!$Z$56="Muy Baja",'Mapa de Riesgos'!$AB$56="Menor"),CONCATENATE("R6C",'Mapa de Riesgos'!$P$56),"")</f>
        <v/>
      </c>
      <c r="T51" s="35" t="str">
        <f>IF(AND('Mapa de Riesgos'!$Z$57="Muy Baja",'Mapa de Riesgos'!$AB$57="Menor"),CONCATENATE("R6C",'Mapa de Riesgos'!$P$57),"")</f>
        <v/>
      </c>
      <c r="U51" s="36" t="str">
        <f>IF(AND('Mapa de Riesgos'!$Z$58="Muy Baja",'Mapa de Riesgos'!$AB$58="Menor"),CONCATENATE("R6C",'Mapa de Riesgos'!$P$58),"")</f>
        <v/>
      </c>
      <c r="V51" s="25" t="str">
        <f>IF(AND('Mapa de Riesgos'!$Z$53="Muy Baja",'Mapa de Riesgos'!$AB$53="Moderado"),CONCATENATE("R6C",'Mapa de Riesgos'!$P$53),"")</f>
        <v/>
      </c>
      <c r="W51" s="26" t="str">
        <f>IF(AND('Mapa de Riesgos'!$Z$54="Muy Baja",'Mapa de Riesgos'!$AB$54="Moderado"),CONCATENATE("R6C",'Mapa de Riesgos'!$P$54),"")</f>
        <v/>
      </c>
      <c r="X51" s="26" t="str">
        <f>IF(AND('Mapa de Riesgos'!$Z$55="Muy Baja",'Mapa de Riesgos'!$AB$55="Moderado"),CONCATENATE("R6C",'Mapa de Riesgos'!$P$55),"")</f>
        <v/>
      </c>
      <c r="Y51" s="26" t="str">
        <f>IF(AND('Mapa de Riesgos'!$Z$56="Muy Baja",'Mapa de Riesgos'!$AB$56="Moderado"),CONCATENATE("R6C",'Mapa de Riesgos'!$P$56),"")</f>
        <v/>
      </c>
      <c r="Z51" s="26" t="str">
        <f>IF(AND('Mapa de Riesgos'!$Z$57="Muy Baja",'Mapa de Riesgos'!$AB$57="Moderado"),CONCATENATE("R6C",'Mapa de Riesgos'!$P$57),"")</f>
        <v/>
      </c>
      <c r="AA51" s="27" t="str">
        <f>IF(AND('Mapa de Riesgos'!$Z$58="Muy Baja",'Mapa de Riesgos'!$AB$58="Moderado"),CONCATENATE("R6C",'Mapa de Riesgos'!$P$58),"")</f>
        <v/>
      </c>
      <c r="AB51" s="10" t="str">
        <f>IF(AND('Mapa de Riesgos'!$Z$53="Muy Baja",'Mapa de Riesgos'!$AB$53="Mayor"),CONCATENATE("R6C",'Mapa de Riesgos'!$P$53),"")</f>
        <v/>
      </c>
      <c r="AC51" s="11" t="str">
        <f>IF(AND('Mapa de Riesgos'!$Z$54="Muy Baja",'Mapa de Riesgos'!$AB$54="Mayor"),CONCATENATE("R6C",'Mapa de Riesgos'!$P$54),"")</f>
        <v/>
      </c>
      <c r="AD51" s="11" t="str">
        <f>IF(AND('Mapa de Riesgos'!$Z$55="Muy Baja",'Mapa de Riesgos'!$AB$55="Mayor"),CONCATENATE("R6C",'Mapa de Riesgos'!$P$55),"")</f>
        <v/>
      </c>
      <c r="AE51" s="11" t="str">
        <f>IF(AND('Mapa de Riesgos'!$Z$56="Muy Baja",'Mapa de Riesgos'!$AB$56="Mayor"),CONCATENATE("R6C",'Mapa de Riesgos'!$P$56),"")</f>
        <v/>
      </c>
      <c r="AF51" s="11" t="str">
        <f>IF(AND('Mapa de Riesgos'!$Z$57="Muy Baja",'Mapa de Riesgos'!$AB$57="Mayor"),CONCATENATE("R6C",'Mapa de Riesgos'!$P$57),"")</f>
        <v/>
      </c>
      <c r="AG51" s="12" t="str">
        <f>IF(AND('Mapa de Riesgos'!$Z$58="Muy Baja",'Mapa de Riesgos'!$AB$58="Mayor"),CONCATENATE("R6C",'Mapa de Riesgos'!$P$58),"")</f>
        <v/>
      </c>
      <c r="AH51" s="13" t="str">
        <f>IF(AND('Mapa de Riesgos'!$Z$53="Muy Baja",'Mapa de Riesgos'!$AB$53="Catastrófico"),CONCATENATE("R6C",'Mapa de Riesgos'!$P$53),"")</f>
        <v/>
      </c>
      <c r="AI51" s="14" t="str">
        <f>IF(AND('Mapa de Riesgos'!$Z$54="Muy Baja",'Mapa de Riesgos'!$AB$54="Catastrófico"),CONCATENATE("R6C",'Mapa de Riesgos'!$P$54),"")</f>
        <v/>
      </c>
      <c r="AJ51" s="14" t="str">
        <f>IF(AND('Mapa de Riesgos'!$Z$55="Muy Baja",'Mapa de Riesgos'!$AB$55="Catastrófico"),CONCATENATE("R6C",'Mapa de Riesgos'!$P$55),"")</f>
        <v/>
      </c>
      <c r="AK51" s="14" t="str">
        <f>IF(AND('Mapa de Riesgos'!$Z$56="Muy Baja",'Mapa de Riesgos'!$AB$56="Catastrófico"),CONCATENATE("R6C",'Mapa de Riesgos'!$P$56),"")</f>
        <v/>
      </c>
      <c r="AL51" s="14" t="str">
        <f>IF(AND('Mapa de Riesgos'!$Z$57="Muy Baja",'Mapa de Riesgos'!$AB$57="Catastrófico"),CONCATENATE("R6C",'Mapa de Riesgos'!$P$57),"")</f>
        <v/>
      </c>
      <c r="AM51" s="15" t="str">
        <f>IF(AND('Mapa de Riesgos'!$Z$58="Muy Baja",'Mapa de Riesgos'!$AB$58="Catastrófico"),CONCATENATE("R6C",'Mapa de Riesgos'!$P$58),"")</f>
        <v/>
      </c>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ht="15" customHeight="1" x14ac:dyDescent="0.25">
      <c r="A52" s="41"/>
      <c r="B52" s="340"/>
      <c r="C52" s="340"/>
      <c r="D52" s="341"/>
      <c r="E52" s="439"/>
      <c r="F52" s="438"/>
      <c r="G52" s="438"/>
      <c r="H52" s="438"/>
      <c r="I52" s="454"/>
      <c r="J52" s="34" t="str">
        <f>IF(AND('Mapa de Riesgos'!$Z$23="Muy Baja",'Mapa de Riesgos'!$AB$23="Leve"),CONCATENATE("R7C",'Mapa de Riesgos'!$P$23),"")</f>
        <v>R7C1</v>
      </c>
      <c r="K52" s="35" t="str">
        <f>IF(AND('Mapa de Riesgos'!$Z$24="Muy Baja",'Mapa de Riesgos'!$AB$24="Leve"),CONCATENATE("R7C",'Mapa de Riesgos'!$P$24),"")</f>
        <v/>
      </c>
      <c r="L52" s="35" t="str">
        <f>IF(AND('Mapa de Riesgos'!$Z$25="Muy Baja",'Mapa de Riesgos'!$AB$25="Leve"),CONCATENATE("R7C",'Mapa de Riesgos'!$P$25),"")</f>
        <v/>
      </c>
      <c r="M52" s="35" t="str">
        <f>IF(AND('Mapa de Riesgos'!$Z$26="Muy Baja",'Mapa de Riesgos'!$AB$26="Leve"),CONCATENATE("R7C",'Mapa de Riesgos'!$P$26),"")</f>
        <v/>
      </c>
      <c r="N52" s="35" t="str">
        <f>IF(AND('Mapa de Riesgos'!$Z$27="Muy Baja",'Mapa de Riesgos'!$AB$27="Leve"),CONCATENATE("R7C",'Mapa de Riesgos'!$P$27),"")</f>
        <v/>
      </c>
      <c r="O52" s="36" t="str">
        <f>IF(AND('Mapa de Riesgos'!$Z$28="Muy Baja",'Mapa de Riesgos'!$AB$28="Leve"),CONCATENATE("R7C",'Mapa de Riesgos'!$P$28),"")</f>
        <v/>
      </c>
      <c r="P52" s="34" t="str">
        <f>IF(AND('Mapa de Riesgos'!$Z$23="Muy Baja",'Mapa de Riesgos'!$AB$23="Menor"),CONCATENATE("R7C",'Mapa de Riesgos'!$P$23),"")</f>
        <v/>
      </c>
      <c r="Q52" s="35" t="str">
        <f>IF(AND('Mapa de Riesgos'!$Z$24="Muy Baja",'Mapa de Riesgos'!$AB$24="Menor"),CONCATENATE("R7C",'Mapa de Riesgos'!$P$24),"")</f>
        <v/>
      </c>
      <c r="R52" s="35" t="str">
        <f>IF(AND('Mapa de Riesgos'!$Z$25="Muy Baja",'Mapa de Riesgos'!$AB$25="Menor"),CONCATENATE("R7C",'Mapa de Riesgos'!$P$25),"")</f>
        <v/>
      </c>
      <c r="S52" s="35" t="str">
        <f>IF(AND('Mapa de Riesgos'!$Z$26="Muy Baja",'Mapa de Riesgos'!$AB$26="Menor"),CONCATENATE("R7C",'Mapa de Riesgos'!$P$26),"")</f>
        <v/>
      </c>
      <c r="T52" s="35" t="str">
        <f>IF(AND('Mapa de Riesgos'!$Z$27="Muy Baja",'Mapa de Riesgos'!$AB$27="Menor"),CONCATENATE("R7C",'Mapa de Riesgos'!$P$27),"")</f>
        <v/>
      </c>
      <c r="U52" s="36" t="str">
        <f>IF(AND('Mapa de Riesgos'!$Z$28="Muy Baja",'Mapa de Riesgos'!$AB$28="Menor"),CONCATENATE("R7C",'Mapa de Riesgos'!$P$28),"")</f>
        <v/>
      </c>
      <c r="V52" s="25" t="str">
        <f>IF(AND('Mapa de Riesgos'!$Z$23="Muy Baja",'Mapa de Riesgos'!$AB$23="Moderado"),CONCATENATE("R7C",'Mapa de Riesgos'!$P$23),"")</f>
        <v/>
      </c>
      <c r="W52" s="26" t="str">
        <f>IF(AND('Mapa de Riesgos'!$Z$24="Muy Baja",'Mapa de Riesgos'!$AB$24="Moderado"),CONCATENATE("R7C",'Mapa de Riesgos'!$P$24),"")</f>
        <v/>
      </c>
      <c r="X52" s="26" t="str">
        <f>IF(AND('Mapa de Riesgos'!$Z$25="Muy Baja",'Mapa de Riesgos'!$AB$25="Moderado"),CONCATENATE("R7C",'Mapa de Riesgos'!$P$25),"")</f>
        <v/>
      </c>
      <c r="Y52" s="26" t="str">
        <f>IF(AND('Mapa de Riesgos'!$Z$26="Muy Baja",'Mapa de Riesgos'!$AB$26="Moderado"),CONCATENATE("R7C",'Mapa de Riesgos'!$P$26),"")</f>
        <v/>
      </c>
      <c r="Z52" s="26" t="str">
        <f>IF(AND('Mapa de Riesgos'!$Z$27="Muy Baja",'Mapa de Riesgos'!$AB$27="Moderado"),CONCATENATE("R7C",'Mapa de Riesgos'!$P$27),"")</f>
        <v/>
      </c>
      <c r="AA52" s="27" t="str">
        <f>IF(AND('Mapa de Riesgos'!$Z$28="Muy Baja",'Mapa de Riesgos'!$AB$28="Moderado"),CONCATENATE("R7C",'Mapa de Riesgos'!$P$28),"")</f>
        <v/>
      </c>
      <c r="AB52" s="10" t="str">
        <f>IF(AND('Mapa de Riesgos'!$Z$23="Muy Baja",'Mapa de Riesgos'!$AB$23="Mayor"),CONCATENATE("R7C",'Mapa de Riesgos'!$P$23),"")</f>
        <v/>
      </c>
      <c r="AC52" s="11" t="str">
        <f>IF(AND('Mapa de Riesgos'!$Z$24="Muy Baja",'Mapa de Riesgos'!$AB$24="Mayor"),CONCATENATE("R7C",'Mapa de Riesgos'!$P$24),"")</f>
        <v/>
      </c>
      <c r="AD52" s="11" t="str">
        <f>IF(AND('Mapa de Riesgos'!$Z$25="Muy Baja",'Mapa de Riesgos'!$AB$25="Mayor"),CONCATENATE("R7C",'Mapa de Riesgos'!$P$25),"")</f>
        <v/>
      </c>
      <c r="AE52" s="11" t="str">
        <f>IF(AND('Mapa de Riesgos'!$Z$26="Muy Baja",'Mapa de Riesgos'!$AB$26="Mayor"),CONCATENATE("R7C",'Mapa de Riesgos'!$P$26),"")</f>
        <v/>
      </c>
      <c r="AF52" s="11" t="str">
        <f>IF(AND('Mapa de Riesgos'!$Z$27="Muy Baja",'Mapa de Riesgos'!$AB$27="Mayor"),CONCATENATE("R7C",'Mapa de Riesgos'!$P$27),"")</f>
        <v/>
      </c>
      <c r="AG52" s="12" t="str">
        <f>IF(AND('Mapa de Riesgos'!$Z$28="Muy Baja",'Mapa de Riesgos'!$AB$28="Mayor"),CONCATENATE("R7C",'Mapa de Riesgos'!$P$28),"")</f>
        <v/>
      </c>
      <c r="AH52" s="13" t="str">
        <f>IF(AND('Mapa de Riesgos'!$Z$23="Muy Baja",'Mapa de Riesgos'!$AB$23="Catastrófico"),CONCATENATE("R7C",'Mapa de Riesgos'!$P$23),"")</f>
        <v/>
      </c>
      <c r="AI52" s="14" t="str">
        <f>IF(AND('Mapa de Riesgos'!$Z$24="Muy Baja",'Mapa de Riesgos'!$AB$24="Catastrófico"),CONCATENATE("R7C",'Mapa de Riesgos'!$P$24),"")</f>
        <v/>
      </c>
      <c r="AJ52" s="14" t="str">
        <f>IF(AND('Mapa de Riesgos'!$Z$25="Muy Baja",'Mapa de Riesgos'!$AB$25="Catastrófico"),CONCATENATE("R7C",'Mapa de Riesgos'!$P$25),"")</f>
        <v/>
      </c>
      <c r="AK52" s="14" t="str">
        <f>IF(AND('Mapa de Riesgos'!$Z$26="Muy Baja",'Mapa de Riesgos'!$AB$26="Catastrófico"),CONCATENATE("R7C",'Mapa de Riesgos'!$P$26),"")</f>
        <v/>
      </c>
      <c r="AL52" s="14" t="str">
        <f>IF(AND('Mapa de Riesgos'!$Z$27="Muy Baja",'Mapa de Riesgos'!$AB$27="Catastrófico"),CONCATENATE("R7C",'Mapa de Riesgos'!$P$27),"")</f>
        <v/>
      </c>
      <c r="AM52" s="15" t="str">
        <f>IF(AND('Mapa de Riesgos'!$Z$28="Muy Baja",'Mapa de Riesgos'!$AB$28="Catastrófico"),CONCATENATE("R7C",'Mapa de Riesgos'!$P$28),"")</f>
        <v/>
      </c>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340"/>
      <c r="C53" s="340"/>
      <c r="D53" s="341"/>
      <c r="E53" s="439"/>
      <c r="F53" s="438"/>
      <c r="G53" s="438"/>
      <c r="H53" s="438"/>
      <c r="I53" s="454"/>
      <c r="J53" s="34" t="str">
        <f>IF(AND('Mapa de Riesgos'!$Z$17="Muy Baja",'Mapa de Riesgos'!$AB$17="Leve"),CONCATENATE("R8C",'Mapa de Riesgos'!$P$17),"")</f>
        <v>R8C1</v>
      </c>
      <c r="K53" s="35" t="str">
        <f>IF(AND('Mapa de Riesgos'!$Z$18="Muy Baja",'Mapa de Riesgos'!$AB$18="Leve"),CONCATENATE("R8C",'Mapa de Riesgos'!$P$18),"")</f>
        <v/>
      </c>
      <c r="L53" s="35" t="str">
        <f>IF(AND('Mapa de Riesgos'!$Z$19="Muy Baja",'Mapa de Riesgos'!$AB$19="Leve"),CONCATENATE("R8C",'Mapa de Riesgos'!$P$19),"")</f>
        <v/>
      </c>
      <c r="M53" s="35" t="str">
        <f>IF(AND('Mapa de Riesgos'!$Z$20="Muy Baja",'Mapa de Riesgos'!$AB$20="Leve"),CONCATENATE("R8C",'Mapa de Riesgos'!$P$20),"")</f>
        <v/>
      </c>
      <c r="N53" s="35" t="str">
        <f>IF(AND('Mapa de Riesgos'!$Z$21="Muy Baja",'Mapa de Riesgos'!$AB$21="Leve"),CONCATENATE("R8C",'Mapa de Riesgos'!$P$21),"")</f>
        <v/>
      </c>
      <c r="O53" s="36" t="str">
        <f>IF(AND('Mapa de Riesgos'!$Z$22="Muy Baja",'Mapa de Riesgos'!$AB$22="Leve"),CONCATENATE("R8C",'Mapa de Riesgos'!$P$22),"")</f>
        <v/>
      </c>
      <c r="P53" s="34" t="str">
        <f>IF(AND('Mapa de Riesgos'!$Z$17="Muy Baja",'Mapa de Riesgos'!$AB$17="Menor"),CONCATENATE("R8C",'Mapa de Riesgos'!$P$17),"")</f>
        <v/>
      </c>
      <c r="Q53" s="35" t="str">
        <f>IF(AND('Mapa de Riesgos'!$Z$18="Muy Baja",'Mapa de Riesgos'!$AB$18="Menor"),CONCATENATE("R8C",'Mapa de Riesgos'!$P$18),"")</f>
        <v/>
      </c>
      <c r="R53" s="35" t="str">
        <f>IF(AND('Mapa de Riesgos'!$Z$19="Muy Baja",'Mapa de Riesgos'!$AB$19="Menor"),CONCATENATE("R8C",'Mapa de Riesgos'!$P$19),"")</f>
        <v/>
      </c>
      <c r="S53" s="35" t="str">
        <f>IF(AND('Mapa de Riesgos'!$Z$20="Muy Baja",'Mapa de Riesgos'!$AB$20="Menor"),CONCATENATE("R8C",'Mapa de Riesgos'!$P$20),"")</f>
        <v/>
      </c>
      <c r="T53" s="35" t="str">
        <f>IF(AND('Mapa de Riesgos'!$Z$21="Muy Baja",'Mapa de Riesgos'!$AB$21="Menor"),CONCATENATE("R8C",'Mapa de Riesgos'!$P$21),"")</f>
        <v/>
      </c>
      <c r="U53" s="36" t="str">
        <f>IF(AND('Mapa de Riesgos'!$Z$22="Muy Baja",'Mapa de Riesgos'!$AB$22="Menor"),CONCATENATE("R8C",'Mapa de Riesgos'!$P$22),"")</f>
        <v/>
      </c>
      <c r="V53" s="25" t="str">
        <f>IF(AND('Mapa de Riesgos'!$Z$17="Muy Baja",'Mapa de Riesgos'!$AB$17="Moderado"),CONCATENATE("R8C",'Mapa de Riesgos'!$P$17),"")</f>
        <v/>
      </c>
      <c r="W53" s="26" t="str">
        <f>IF(AND('Mapa de Riesgos'!$Z$18="Muy Baja",'Mapa de Riesgos'!$AB$18="Moderado"),CONCATENATE("R8C",'Mapa de Riesgos'!$P$18),"")</f>
        <v/>
      </c>
      <c r="X53" s="26" t="str">
        <f>IF(AND('Mapa de Riesgos'!$Z$19="Muy Baja",'Mapa de Riesgos'!$AB$19="Moderado"),CONCATENATE("R8C",'Mapa de Riesgos'!$P$19),"")</f>
        <v/>
      </c>
      <c r="Y53" s="26" t="str">
        <f>IF(AND('Mapa de Riesgos'!$Z$20="Muy Baja",'Mapa de Riesgos'!$AB$20="Moderado"),CONCATENATE("R8C",'Mapa de Riesgos'!$P$20),"")</f>
        <v/>
      </c>
      <c r="Z53" s="26" t="str">
        <f>IF(AND('Mapa de Riesgos'!$Z$21="Muy Baja",'Mapa de Riesgos'!$AB$21="Moderado"),CONCATENATE("R8C",'Mapa de Riesgos'!$P$21),"")</f>
        <v/>
      </c>
      <c r="AA53" s="27" t="str">
        <f>IF(AND('Mapa de Riesgos'!$Z$22="Muy Baja",'Mapa de Riesgos'!$AB$22="Moderado"),CONCATENATE("R8C",'Mapa de Riesgos'!$P$22),"")</f>
        <v/>
      </c>
      <c r="AB53" s="10" t="str">
        <f>IF(AND('Mapa de Riesgos'!$Z$17="Muy Baja",'Mapa de Riesgos'!$AB$17="Mayor"),CONCATENATE("R8C",'Mapa de Riesgos'!$P$17),"")</f>
        <v/>
      </c>
      <c r="AC53" s="11" t="str">
        <f>IF(AND('Mapa de Riesgos'!$Z$18="Muy Baja",'Mapa de Riesgos'!$AB$18="Mayor"),CONCATENATE("R8C",'Mapa de Riesgos'!$P$18),"")</f>
        <v/>
      </c>
      <c r="AD53" s="11" t="str">
        <f>IF(AND('Mapa de Riesgos'!$Z$19="Muy Baja",'Mapa de Riesgos'!$AB$19="Mayor"),CONCATENATE("R8C",'Mapa de Riesgos'!$P$19),"")</f>
        <v/>
      </c>
      <c r="AE53" s="11" t="str">
        <f>IF(AND('Mapa de Riesgos'!$Z$20="Muy Baja",'Mapa de Riesgos'!$AB$20="Mayor"),CONCATENATE("R8C",'Mapa de Riesgos'!$P$20),"")</f>
        <v/>
      </c>
      <c r="AF53" s="11" t="str">
        <f>IF(AND('Mapa de Riesgos'!$Z$21="Muy Baja",'Mapa de Riesgos'!$AB$21="Mayor"),CONCATENATE("R8C",'Mapa de Riesgos'!$P$21),"")</f>
        <v/>
      </c>
      <c r="AG53" s="12" t="str">
        <f>IF(AND('Mapa de Riesgos'!$Z$22="Muy Baja",'Mapa de Riesgos'!$AB$22="Mayor"),CONCATENATE("R8C",'Mapa de Riesgos'!$P$22),"")</f>
        <v/>
      </c>
      <c r="AH53" s="13" t="str">
        <f>IF(AND('Mapa de Riesgos'!$Z$17="Muy Baja",'Mapa de Riesgos'!$AB$17="Catastrófico"),CONCATENATE("R8C",'Mapa de Riesgos'!$P$17),"")</f>
        <v/>
      </c>
      <c r="AI53" s="14" t="str">
        <f>IF(AND('Mapa de Riesgos'!$Z$18="Muy Baja",'Mapa de Riesgos'!$AB$18="Catastrófico"),CONCATENATE("R8C",'Mapa de Riesgos'!$P$18),"")</f>
        <v/>
      </c>
      <c r="AJ53" s="14" t="str">
        <f>IF(AND('Mapa de Riesgos'!$Z$19="Muy Baja",'Mapa de Riesgos'!$AB$19="Catastrófico"),CONCATENATE("R8C",'Mapa de Riesgos'!$P$19),"")</f>
        <v/>
      </c>
      <c r="AK53" s="14" t="str">
        <f>IF(AND('Mapa de Riesgos'!$Z$20="Muy Baja",'Mapa de Riesgos'!$AB$20="Catastrófico"),CONCATENATE("R8C",'Mapa de Riesgos'!$P$20),"")</f>
        <v/>
      </c>
      <c r="AL53" s="14" t="str">
        <f>IF(AND('Mapa de Riesgos'!$Z$21="Muy Baja",'Mapa de Riesgos'!$AB$21="Catastrófico"),CONCATENATE("R8C",'Mapa de Riesgos'!$P$21),"")</f>
        <v/>
      </c>
      <c r="AM53" s="15" t="str">
        <f>IF(AND('Mapa de Riesgos'!$Z$22="Muy Baja",'Mapa de Riesgos'!$AB$22="Catastrófico"),CONCATENATE("R8C",'Mapa de Riesgos'!$P$22),"")</f>
        <v/>
      </c>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340"/>
      <c r="C54" s="340"/>
      <c r="D54" s="341"/>
      <c r="E54" s="439"/>
      <c r="F54" s="438"/>
      <c r="G54" s="438"/>
      <c r="H54" s="438"/>
      <c r="I54" s="454"/>
      <c r="J54" s="34" t="str">
        <f>IF(AND('Mapa de Riesgos'!$Z$59="Muy Baja",'Mapa de Riesgos'!$AB$59="Leve"),CONCATENATE("R9C",'Mapa de Riesgos'!$P$59),"")</f>
        <v>R9C1</v>
      </c>
      <c r="K54" s="35" t="str">
        <f>IF(AND('Mapa de Riesgos'!$Z$60="Muy Baja",'Mapa de Riesgos'!$AB$60="Leve"),CONCATENATE("R9C",'Mapa de Riesgos'!$P$60),"")</f>
        <v/>
      </c>
      <c r="L54" s="35" t="str">
        <f>IF(AND('Mapa de Riesgos'!$Z$61="Muy Baja",'Mapa de Riesgos'!$AB$61="Leve"),CONCATENATE("R9C",'Mapa de Riesgos'!$P$61),"")</f>
        <v/>
      </c>
      <c r="M54" s="35" t="str">
        <f>IF(AND('Mapa de Riesgos'!$Z$62="Muy Baja",'Mapa de Riesgos'!$AB$62="Leve"),CONCATENATE("R9C",'Mapa de Riesgos'!$P$62),"")</f>
        <v/>
      </c>
      <c r="N54" s="35" t="str">
        <f>IF(AND('Mapa de Riesgos'!$Z$63="Muy Baja",'Mapa de Riesgos'!$AB$63="Leve"),CONCATENATE("R9C",'Mapa de Riesgos'!$P$63),"")</f>
        <v/>
      </c>
      <c r="O54" s="36" t="str">
        <f>IF(AND('Mapa de Riesgos'!$Z$64="Muy Baja",'Mapa de Riesgos'!$AB$64="Leve"),CONCATENATE("R9C",'Mapa de Riesgos'!$P$64),"")</f>
        <v/>
      </c>
      <c r="P54" s="34" t="str">
        <f>IF(AND('Mapa de Riesgos'!$Z$59="Muy Baja",'Mapa de Riesgos'!$AB$59="Menor"),CONCATENATE("R9C",'Mapa de Riesgos'!$P$59),"")</f>
        <v/>
      </c>
      <c r="Q54" s="35" t="str">
        <f>IF(AND('Mapa de Riesgos'!$Z$60="Muy Baja",'Mapa de Riesgos'!$AB$60="Menor"),CONCATENATE("R9C",'Mapa de Riesgos'!$P$60),"")</f>
        <v/>
      </c>
      <c r="R54" s="35" t="str">
        <f>IF(AND('Mapa de Riesgos'!$Z$61="Muy Baja",'Mapa de Riesgos'!$AB$61="Menor"),CONCATENATE("R9C",'Mapa de Riesgos'!$P$61),"")</f>
        <v/>
      </c>
      <c r="S54" s="35" t="str">
        <f>IF(AND('Mapa de Riesgos'!$Z$62="Muy Baja",'Mapa de Riesgos'!$AB$62="Menor"),CONCATENATE("R9C",'Mapa de Riesgos'!$P$62),"")</f>
        <v/>
      </c>
      <c r="T54" s="35" t="str">
        <f>IF(AND('Mapa de Riesgos'!$Z$63="Muy Baja",'Mapa de Riesgos'!$AB$63="Menor"),CONCATENATE("R9C",'Mapa de Riesgos'!$P$63),"")</f>
        <v/>
      </c>
      <c r="U54" s="36" t="str">
        <f>IF(AND('Mapa de Riesgos'!$Z$64="Muy Baja",'Mapa de Riesgos'!$AB$64="Menor"),CONCATENATE("R9C",'Mapa de Riesgos'!$P$64),"")</f>
        <v/>
      </c>
      <c r="V54" s="25" t="str">
        <f>IF(AND('Mapa de Riesgos'!$Z$59="Muy Baja",'Mapa de Riesgos'!$AB$59="Moderado"),CONCATENATE("R9C",'Mapa de Riesgos'!$P$59),"")</f>
        <v/>
      </c>
      <c r="W54" s="26" t="str">
        <f>IF(AND('Mapa de Riesgos'!$Z$60="Muy Baja",'Mapa de Riesgos'!$AB$60="Moderado"),CONCATENATE("R9C",'Mapa de Riesgos'!$P$60),"")</f>
        <v/>
      </c>
      <c r="X54" s="26" t="str">
        <f>IF(AND('Mapa de Riesgos'!$Z$61="Muy Baja",'Mapa de Riesgos'!$AB$61="Moderado"),CONCATENATE("R9C",'Mapa de Riesgos'!$P$61),"")</f>
        <v/>
      </c>
      <c r="Y54" s="26" t="str">
        <f>IF(AND('Mapa de Riesgos'!$Z$62="Muy Baja",'Mapa de Riesgos'!$AB$62="Moderado"),CONCATENATE("R9C",'Mapa de Riesgos'!$P$62),"")</f>
        <v/>
      </c>
      <c r="Z54" s="26" t="str">
        <f>IF(AND('Mapa de Riesgos'!$Z$63="Muy Baja",'Mapa de Riesgos'!$AB$63="Moderado"),CONCATENATE("R9C",'Mapa de Riesgos'!$P$63),"")</f>
        <v/>
      </c>
      <c r="AA54" s="27" t="str">
        <f>IF(AND('Mapa de Riesgos'!$Z$64="Muy Baja",'Mapa de Riesgos'!$AB$64="Moderado"),CONCATENATE("R9C",'Mapa de Riesgos'!$P$64),"")</f>
        <v/>
      </c>
      <c r="AB54" s="10" t="str">
        <f>IF(AND('Mapa de Riesgos'!$Z$59="Muy Baja",'Mapa de Riesgos'!$AB$59="Mayor"),CONCATENATE("R9C",'Mapa de Riesgos'!$P$59),"")</f>
        <v/>
      </c>
      <c r="AC54" s="11" t="str">
        <f>IF(AND('Mapa de Riesgos'!$Z$60="Muy Baja",'Mapa de Riesgos'!$AB$60="Mayor"),CONCATENATE("R9C",'Mapa de Riesgos'!$P$60),"")</f>
        <v/>
      </c>
      <c r="AD54" s="11" t="str">
        <f>IF(AND('Mapa de Riesgos'!$Z$61="Muy Baja",'Mapa de Riesgos'!$AB$61="Mayor"),CONCATENATE("R9C",'Mapa de Riesgos'!$P$61),"")</f>
        <v/>
      </c>
      <c r="AE54" s="11" t="str">
        <f>IF(AND('Mapa de Riesgos'!$Z$62="Muy Baja",'Mapa de Riesgos'!$AB$62="Mayor"),CONCATENATE("R9C",'Mapa de Riesgos'!$P$62),"")</f>
        <v/>
      </c>
      <c r="AF54" s="11" t="str">
        <f>IF(AND('Mapa de Riesgos'!$Z$63="Muy Baja",'Mapa de Riesgos'!$AB$63="Mayor"),CONCATENATE("R9C",'Mapa de Riesgos'!$P$63),"")</f>
        <v/>
      </c>
      <c r="AG54" s="12" t="str">
        <f>IF(AND('Mapa de Riesgos'!$Z$64="Muy Baja",'Mapa de Riesgos'!$AB$64="Mayor"),CONCATENATE("R9C",'Mapa de Riesgos'!$P$64),"")</f>
        <v/>
      </c>
      <c r="AH54" s="13" t="str">
        <f>IF(AND('Mapa de Riesgos'!$Z$59="Muy Baja",'Mapa de Riesgos'!$AB$59="Catastrófico"),CONCATENATE("R9C",'Mapa de Riesgos'!$P$59),"")</f>
        <v/>
      </c>
      <c r="AI54" s="14" t="str">
        <f>IF(AND('Mapa de Riesgos'!$Z$60="Muy Baja",'Mapa de Riesgos'!$AB$60="Catastrófico"),CONCATENATE("R9C",'Mapa de Riesgos'!$P$60),"")</f>
        <v/>
      </c>
      <c r="AJ54" s="14" t="str">
        <f>IF(AND('Mapa de Riesgos'!$Z$61="Muy Baja",'Mapa de Riesgos'!$AB$61="Catastrófico"),CONCATENATE("R9C",'Mapa de Riesgos'!$P$61),"")</f>
        <v/>
      </c>
      <c r="AK54" s="14" t="str">
        <f>IF(AND('Mapa de Riesgos'!$Z$62="Muy Baja",'Mapa de Riesgos'!$AB$62="Catastrófico"),CONCATENATE("R9C",'Mapa de Riesgos'!$P$62),"")</f>
        <v/>
      </c>
      <c r="AL54" s="14" t="str">
        <f>IF(AND('Mapa de Riesgos'!$Z$63="Muy Baja",'Mapa de Riesgos'!$AB$63="Catastrófico"),CONCATENATE("R9C",'Mapa de Riesgos'!$P$63),"")</f>
        <v/>
      </c>
      <c r="AM54" s="15" t="str">
        <f>IF(AND('Mapa de Riesgos'!$Z$64="Muy Baja",'Mapa de Riesgos'!$AB$64="Catastrófico"),CONCATENATE("R9C",'Mapa de Riesgos'!$P$64),"")</f>
        <v/>
      </c>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ht="15.75" customHeight="1" thickBot="1" x14ac:dyDescent="0.3">
      <c r="A55" s="41"/>
      <c r="B55" s="340"/>
      <c r="C55" s="340"/>
      <c r="D55" s="341"/>
      <c r="E55" s="440"/>
      <c r="F55" s="441"/>
      <c r="G55" s="441"/>
      <c r="H55" s="441"/>
      <c r="I55" s="455"/>
      <c r="J55" s="37" t="str">
        <f>IF(AND('Mapa de Riesgos'!$Z$65="Muy Baja",'Mapa de Riesgos'!$AB$65="Leve"),CONCATENATE("R10C",'Mapa de Riesgos'!$P$65),"")</f>
        <v/>
      </c>
      <c r="K55" s="38" t="str">
        <f>IF(AND('Mapa de Riesgos'!$Z$66="Muy Baja",'Mapa de Riesgos'!$AB$66="Leve"),CONCATENATE("R10C",'Mapa de Riesgos'!$P$66),"")</f>
        <v/>
      </c>
      <c r="L55" s="38" t="str">
        <f>IF(AND('Mapa de Riesgos'!$Z$67="Muy Baja",'Mapa de Riesgos'!$AB$67="Leve"),CONCATENATE("R10C",'Mapa de Riesgos'!$P$67),"")</f>
        <v/>
      </c>
      <c r="M55" s="38" t="str">
        <f>IF(AND('Mapa de Riesgos'!$Z$68="Muy Baja",'Mapa de Riesgos'!$AB$68="Leve"),CONCATENATE("R10C",'Mapa de Riesgos'!$P$68),"")</f>
        <v/>
      </c>
      <c r="N55" s="38" t="str">
        <f>IF(AND('Mapa de Riesgos'!$Z$69="Muy Baja",'Mapa de Riesgos'!$AB$69="Leve"),CONCATENATE("R10C",'Mapa de Riesgos'!$P$69),"")</f>
        <v/>
      </c>
      <c r="O55" s="39" t="str">
        <f>IF(AND('Mapa de Riesgos'!$Z$70="Muy Baja",'Mapa de Riesgos'!$AB$70="Leve"),CONCATENATE("R10C",'Mapa de Riesgos'!$P$70),"")</f>
        <v/>
      </c>
      <c r="P55" s="37" t="str">
        <f>IF(AND('Mapa de Riesgos'!$Z$65="Muy Baja",'Mapa de Riesgos'!$AB$65="Menor"),CONCATENATE("R10C",'Mapa de Riesgos'!$P$65),"")</f>
        <v/>
      </c>
      <c r="Q55" s="38" t="str">
        <f>IF(AND('Mapa de Riesgos'!$Z$66="Muy Baja",'Mapa de Riesgos'!$AB$66="Menor"),CONCATENATE("R10C",'Mapa de Riesgos'!$P$66),"")</f>
        <v/>
      </c>
      <c r="R55" s="38" t="str">
        <f>IF(AND('Mapa de Riesgos'!$Z$67="Muy Baja",'Mapa de Riesgos'!$AB$67="Menor"),CONCATENATE("R10C",'Mapa de Riesgos'!$P$67),"")</f>
        <v/>
      </c>
      <c r="S55" s="38" t="str">
        <f>IF(AND('Mapa de Riesgos'!$Z$68="Muy Baja",'Mapa de Riesgos'!$AB$68="Menor"),CONCATENATE("R10C",'Mapa de Riesgos'!$P$68),"")</f>
        <v/>
      </c>
      <c r="T55" s="38" t="str">
        <f>IF(AND('Mapa de Riesgos'!$Z$69="Muy Baja",'Mapa de Riesgos'!$AB$69="Menor"),CONCATENATE("R10C",'Mapa de Riesgos'!$P$69),"")</f>
        <v/>
      </c>
      <c r="U55" s="39" t="str">
        <f>IF(AND('Mapa de Riesgos'!$Z$70="Muy Baja",'Mapa de Riesgos'!$AB$70="Menor"),CONCATENATE("R10C",'Mapa de Riesgos'!$P$70),"")</f>
        <v/>
      </c>
      <c r="V55" s="28" t="str">
        <f>IF(AND('Mapa de Riesgos'!$Z$65="Muy Baja",'Mapa de Riesgos'!$AB$65="Moderado"),CONCATENATE("R10C",'Mapa de Riesgos'!$P$65),"")</f>
        <v/>
      </c>
      <c r="W55" s="29" t="str">
        <f>IF(AND('Mapa de Riesgos'!$Z$66="Muy Baja",'Mapa de Riesgos'!$AB$66="Moderado"),CONCATENATE("R10C",'Mapa de Riesgos'!$P$66),"")</f>
        <v/>
      </c>
      <c r="X55" s="29" t="str">
        <f>IF(AND('Mapa de Riesgos'!$Z$67="Muy Baja",'Mapa de Riesgos'!$AB$67="Moderado"),CONCATENATE("R10C",'Mapa de Riesgos'!$P$67),"")</f>
        <v/>
      </c>
      <c r="Y55" s="29" t="str">
        <f>IF(AND('Mapa de Riesgos'!$Z$68="Muy Baja",'Mapa de Riesgos'!$AB$68="Moderado"),CONCATENATE("R10C",'Mapa de Riesgos'!$P$68),"")</f>
        <v/>
      </c>
      <c r="Z55" s="29" t="str">
        <f>IF(AND('Mapa de Riesgos'!$Z$69="Muy Baja",'Mapa de Riesgos'!$AB$69="Moderado"),CONCATENATE("R10C",'Mapa de Riesgos'!$P$69),"")</f>
        <v/>
      </c>
      <c r="AA55" s="30" t="str">
        <f>IF(AND('Mapa de Riesgos'!$Z$70="Muy Baja",'Mapa de Riesgos'!$AB$70="Moderado"),CONCATENATE("R10C",'Mapa de Riesgos'!$P$70),"")</f>
        <v/>
      </c>
      <c r="AB55" s="16" t="str">
        <f>IF(AND('Mapa de Riesgos'!$Z$65="Muy Baja",'Mapa de Riesgos'!$AB$65="Mayor"),CONCATENATE("R10C",'Mapa de Riesgos'!$P$65),"")</f>
        <v/>
      </c>
      <c r="AC55" s="17" t="str">
        <f>IF(AND('Mapa de Riesgos'!$Z$66="Muy Baja",'Mapa de Riesgos'!$AB$66="Mayor"),CONCATENATE("R10C",'Mapa de Riesgos'!$P$66),"")</f>
        <v/>
      </c>
      <c r="AD55" s="17" t="str">
        <f>IF(AND('Mapa de Riesgos'!$Z$67="Muy Baja",'Mapa de Riesgos'!$AB$67="Mayor"),CONCATENATE("R10C",'Mapa de Riesgos'!$P$67),"")</f>
        <v/>
      </c>
      <c r="AE55" s="17" t="str">
        <f>IF(AND('Mapa de Riesgos'!$Z$68="Muy Baja",'Mapa de Riesgos'!$AB$68="Mayor"),CONCATENATE("R10C",'Mapa de Riesgos'!$P$68),"")</f>
        <v/>
      </c>
      <c r="AF55" s="17" t="str">
        <f>IF(AND('Mapa de Riesgos'!$Z$69="Muy Baja",'Mapa de Riesgos'!$AB$69="Mayor"),CONCATENATE("R10C",'Mapa de Riesgos'!$P$69),"")</f>
        <v/>
      </c>
      <c r="AG55" s="18" t="str">
        <f>IF(AND('Mapa de Riesgos'!$Z$70="Muy Baja",'Mapa de Riesgos'!$AB$70="Mayor"),CONCATENATE("R10C",'Mapa de Riesgos'!$P$70),"")</f>
        <v/>
      </c>
      <c r="AH55" s="19" t="str">
        <f>IF(AND('Mapa de Riesgos'!$Z$65="Muy Baja",'Mapa de Riesgos'!$AB$65="Catastrófico"),CONCATENATE("R10C",'Mapa de Riesgos'!$P$65),"")</f>
        <v/>
      </c>
      <c r="AI55" s="20" t="str">
        <f>IF(AND('Mapa de Riesgos'!$Z$66="Muy Baja",'Mapa de Riesgos'!$AB$66="Catastrófico"),CONCATENATE("R10C",'Mapa de Riesgos'!$P$66),"")</f>
        <v/>
      </c>
      <c r="AJ55" s="20" t="str">
        <f>IF(AND('Mapa de Riesgos'!$Z$67="Muy Baja",'Mapa de Riesgos'!$AB$67="Catastrófico"),CONCATENATE("R10C",'Mapa de Riesgos'!$P$67),"")</f>
        <v/>
      </c>
      <c r="AK55" s="20" t="str">
        <f>IF(AND('Mapa de Riesgos'!$Z$68="Muy Baja",'Mapa de Riesgos'!$AB$68="Catastrófico"),CONCATENATE("R10C",'Mapa de Riesgos'!$P$68),"")</f>
        <v/>
      </c>
      <c r="AL55" s="20" t="str">
        <f>IF(AND('Mapa de Riesgos'!$Z$69="Muy Baja",'Mapa de Riesgos'!$AB$69="Catastrófico"),CONCATENATE("R10C",'Mapa de Riesgos'!$P$69),"")</f>
        <v/>
      </c>
      <c r="AM55" s="21" t="str">
        <f>IF(AND('Mapa de Riesgos'!$Z$70="Muy Baja",'Mapa de Riesgos'!$AB$70="Catastrófico"),CONCATENATE("R10C",'Mapa de Riesgos'!$P$70),"")</f>
        <v/>
      </c>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435" t="s">
        <v>120</v>
      </c>
      <c r="K56" s="436"/>
      <c r="L56" s="436"/>
      <c r="M56" s="436"/>
      <c r="N56" s="436"/>
      <c r="O56" s="453"/>
      <c r="P56" s="435" t="s">
        <v>121</v>
      </c>
      <c r="Q56" s="436"/>
      <c r="R56" s="436"/>
      <c r="S56" s="436"/>
      <c r="T56" s="436"/>
      <c r="U56" s="453"/>
      <c r="V56" s="435" t="s">
        <v>122</v>
      </c>
      <c r="W56" s="436"/>
      <c r="X56" s="436"/>
      <c r="Y56" s="436"/>
      <c r="Z56" s="436"/>
      <c r="AA56" s="453"/>
      <c r="AB56" s="435" t="s">
        <v>123</v>
      </c>
      <c r="AC56" s="474"/>
      <c r="AD56" s="436"/>
      <c r="AE56" s="436"/>
      <c r="AF56" s="436"/>
      <c r="AG56" s="453"/>
      <c r="AH56" s="435" t="s">
        <v>124</v>
      </c>
      <c r="AI56" s="436"/>
      <c r="AJ56" s="436"/>
      <c r="AK56" s="436"/>
      <c r="AL56" s="436"/>
      <c r="AM56" s="453"/>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439"/>
      <c r="K57" s="438"/>
      <c r="L57" s="438"/>
      <c r="M57" s="438"/>
      <c r="N57" s="438"/>
      <c r="O57" s="454"/>
      <c r="P57" s="439"/>
      <c r="Q57" s="438"/>
      <c r="R57" s="438"/>
      <c r="S57" s="438"/>
      <c r="T57" s="438"/>
      <c r="U57" s="454"/>
      <c r="V57" s="439"/>
      <c r="W57" s="438"/>
      <c r="X57" s="438"/>
      <c r="Y57" s="438"/>
      <c r="Z57" s="438"/>
      <c r="AA57" s="454"/>
      <c r="AB57" s="439"/>
      <c r="AC57" s="438"/>
      <c r="AD57" s="438"/>
      <c r="AE57" s="438"/>
      <c r="AF57" s="438"/>
      <c r="AG57" s="454"/>
      <c r="AH57" s="439"/>
      <c r="AI57" s="438"/>
      <c r="AJ57" s="438"/>
      <c r="AK57" s="438"/>
      <c r="AL57" s="438"/>
      <c r="AM57" s="454"/>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439"/>
      <c r="K58" s="438"/>
      <c r="L58" s="438"/>
      <c r="M58" s="438"/>
      <c r="N58" s="438"/>
      <c r="O58" s="454"/>
      <c r="P58" s="439"/>
      <c r="Q58" s="438"/>
      <c r="R58" s="438"/>
      <c r="S58" s="438"/>
      <c r="T58" s="438"/>
      <c r="U58" s="454"/>
      <c r="V58" s="439"/>
      <c r="W58" s="438"/>
      <c r="X58" s="438"/>
      <c r="Y58" s="438"/>
      <c r="Z58" s="438"/>
      <c r="AA58" s="454"/>
      <c r="AB58" s="439"/>
      <c r="AC58" s="438"/>
      <c r="AD58" s="438"/>
      <c r="AE58" s="438"/>
      <c r="AF58" s="438"/>
      <c r="AG58" s="454"/>
      <c r="AH58" s="439"/>
      <c r="AI58" s="438"/>
      <c r="AJ58" s="438"/>
      <c r="AK58" s="438"/>
      <c r="AL58" s="438"/>
      <c r="AM58" s="454"/>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439"/>
      <c r="K59" s="438"/>
      <c r="L59" s="438"/>
      <c r="M59" s="438"/>
      <c r="N59" s="438"/>
      <c r="O59" s="454"/>
      <c r="P59" s="439"/>
      <c r="Q59" s="438"/>
      <c r="R59" s="438"/>
      <c r="S59" s="438"/>
      <c r="T59" s="438"/>
      <c r="U59" s="454"/>
      <c r="V59" s="439"/>
      <c r="W59" s="438"/>
      <c r="X59" s="438"/>
      <c r="Y59" s="438"/>
      <c r="Z59" s="438"/>
      <c r="AA59" s="454"/>
      <c r="AB59" s="439"/>
      <c r="AC59" s="438"/>
      <c r="AD59" s="438"/>
      <c r="AE59" s="438"/>
      <c r="AF59" s="438"/>
      <c r="AG59" s="454"/>
      <c r="AH59" s="439"/>
      <c r="AI59" s="438"/>
      <c r="AJ59" s="438"/>
      <c r="AK59" s="438"/>
      <c r="AL59" s="438"/>
      <c r="AM59" s="454"/>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439"/>
      <c r="K60" s="438"/>
      <c r="L60" s="438"/>
      <c r="M60" s="438"/>
      <c r="N60" s="438"/>
      <c r="O60" s="454"/>
      <c r="P60" s="439"/>
      <c r="Q60" s="438"/>
      <c r="R60" s="438"/>
      <c r="S60" s="438"/>
      <c r="T60" s="438"/>
      <c r="U60" s="454"/>
      <c r="V60" s="439"/>
      <c r="W60" s="438"/>
      <c r="X60" s="438"/>
      <c r="Y60" s="438"/>
      <c r="Z60" s="438"/>
      <c r="AA60" s="454"/>
      <c r="AB60" s="439"/>
      <c r="AC60" s="438"/>
      <c r="AD60" s="438"/>
      <c r="AE60" s="438"/>
      <c r="AF60" s="438"/>
      <c r="AG60" s="454"/>
      <c r="AH60" s="439"/>
      <c r="AI60" s="438"/>
      <c r="AJ60" s="438"/>
      <c r="AK60" s="438"/>
      <c r="AL60" s="438"/>
      <c r="AM60" s="454"/>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ht="15.75" thickBot="1" x14ac:dyDescent="0.3">
      <c r="A61" s="41"/>
      <c r="B61" s="41"/>
      <c r="C61" s="41"/>
      <c r="D61" s="41"/>
      <c r="E61" s="41"/>
      <c r="F61" s="41"/>
      <c r="G61" s="41"/>
      <c r="H61" s="41"/>
      <c r="I61" s="41"/>
      <c r="J61" s="440"/>
      <c r="K61" s="441"/>
      <c r="L61" s="441"/>
      <c r="M61" s="441"/>
      <c r="N61" s="441"/>
      <c r="O61" s="455"/>
      <c r="P61" s="440"/>
      <c r="Q61" s="441"/>
      <c r="R61" s="441"/>
      <c r="S61" s="441"/>
      <c r="T61" s="441"/>
      <c r="U61" s="455"/>
      <c r="V61" s="440"/>
      <c r="W61" s="441"/>
      <c r="X61" s="441"/>
      <c r="Y61" s="441"/>
      <c r="Z61" s="441"/>
      <c r="AA61" s="455"/>
      <c r="AB61" s="440"/>
      <c r="AC61" s="441"/>
      <c r="AD61" s="441"/>
      <c r="AE61" s="441"/>
      <c r="AF61" s="441"/>
      <c r="AG61" s="455"/>
      <c r="AH61" s="440"/>
      <c r="AI61" s="441"/>
      <c r="AJ61" s="441"/>
      <c r="AK61" s="441"/>
      <c r="AL61" s="441"/>
      <c r="AM61" s="455"/>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row>
    <row r="63" spans="1:80" ht="15" customHeight="1"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1"/>
      <c r="AV63" s="41"/>
      <c r="AW63" s="41"/>
      <c r="AX63" s="41"/>
      <c r="AY63" s="41"/>
      <c r="AZ63" s="41"/>
      <c r="BA63" s="41"/>
      <c r="BB63" s="41"/>
      <c r="BC63" s="41"/>
      <c r="BD63" s="41"/>
      <c r="BE63" s="41"/>
      <c r="BF63" s="41"/>
      <c r="BG63" s="41"/>
      <c r="BH63" s="41"/>
    </row>
    <row r="64" spans="1:80" ht="15" customHeight="1" x14ac:dyDescent="0.25">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1"/>
      <c r="AV64" s="41"/>
      <c r="AW64" s="41"/>
      <c r="AX64" s="41"/>
      <c r="AY64" s="41"/>
      <c r="AZ64" s="41"/>
      <c r="BA64" s="41"/>
      <c r="BB64" s="41"/>
      <c r="BC64" s="41"/>
      <c r="BD64" s="41"/>
      <c r="BE64" s="41"/>
      <c r="BF64" s="41"/>
      <c r="BG64" s="41"/>
      <c r="BH64" s="41"/>
    </row>
    <row r="65" spans="1:6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row>
    <row r="66" spans="1:6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row>
    <row r="67" spans="1:6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row>
    <row r="68" spans="1:6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row>
    <row r="69" spans="1:6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row>
    <row r="70" spans="1:6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row>
    <row r="71" spans="1:6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row>
    <row r="72" spans="1:6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row>
    <row r="73" spans="1:6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row>
    <row r="74" spans="1:6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row>
    <row r="75" spans="1:6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row>
    <row r="76" spans="1:6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row>
    <row r="77" spans="1:6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row>
    <row r="78" spans="1:6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row>
    <row r="79" spans="1:6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row>
    <row r="80" spans="1:6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row>
    <row r="81" spans="1:60"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row>
    <row r="82" spans="1:60"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row>
    <row r="83" spans="1:60"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row>
    <row r="84" spans="1:60"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row>
    <row r="85" spans="1:60"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row>
    <row r="86" spans="1:60"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row>
    <row r="87" spans="1:60"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row>
    <row r="88" spans="1:60"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row>
    <row r="89" spans="1:60"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row>
    <row r="90" spans="1:60"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row>
    <row r="91" spans="1:60"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row>
    <row r="92" spans="1:60"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row>
    <row r="93" spans="1:60"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row>
    <row r="94" spans="1:60"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row>
    <row r="95" spans="1:60"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row>
    <row r="96" spans="1:60"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row>
    <row r="97" spans="1:60"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row>
    <row r="98" spans="1:60"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row>
    <row r="99" spans="1:60"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row>
    <row r="100" spans="1:60"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row>
    <row r="101" spans="1:60"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row>
    <row r="102" spans="1:60"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row>
    <row r="103" spans="1:60"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row>
    <row r="104" spans="1:60"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row>
    <row r="105" spans="1:60"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row>
    <row r="106" spans="1:60"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row>
    <row r="107" spans="1:60"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row>
    <row r="108" spans="1:60"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row>
    <row r="109" spans="1:60"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row>
    <row r="110" spans="1:60"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row>
    <row r="111" spans="1:60"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row>
    <row r="112" spans="1:6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row>
    <row r="113" spans="1:60"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row>
    <row r="114" spans="1:60"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row>
    <row r="115" spans="1:6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row>
    <row r="116" spans="1:6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row>
    <row r="117" spans="1:6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row>
    <row r="118" spans="1:6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row>
    <row r="119" spans="1:6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row>
    <row r="120" spans="1:6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row>
    <row r="121" spans="1:60"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row>
    <row r="122" spans="1:60"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row>
    <row r="123" spans="1:6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row>
    <row r="124" spans="1:6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row>
    <row r="125" spans="1:6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row>
    <row r="126" spans="1:6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row>
    <row r="127" spans="1:6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row>
    <row r="128" spans="1:6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row>
    <row r="129" spans="1:6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row>
    <row r="130" spans="1:6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row>
    <row r="131" spans="1:6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row>
    <row r="132" spans="1:6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row>
    <row r="133" spans="1:6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row>
    <row r="134" spans="1:6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row>
    <row r="135" spans="1:6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row>
    <row r="136" spans="1:6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row>
    <row r="137" spans="1:6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row>
    <row r="138" spans="1:6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row>
    <row r="139" spans="1:6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row>
    <row r="140" spans="1:6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row>
    <row r="141" spans="1:6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row>
    <row r="142" spans="1:6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row>
    <row r="143" spans="1:6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row>
    <row r="144" spans="1:6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row>
    <row r="145" spans="1:60"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row>
    <row r="146" spans="1:60"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row>
    <row r="147" spans="1:60"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row>
    <row r="148" spans="1:60"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row>
    <row r="149" spans="1:60"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row>
    <row r="150" spans="1:60"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row>
    <row r="151" spans="1:60"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row>
    <row r="152" spans="1:60"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row>
    <row r="153" spans="1:60"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row>
    <row r="154" spans="1:60"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row>
    <row r="155" spans="1:60"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row>
    <row r="156" spans="1:60"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row>
    <row r="157" spans="1:60"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row>
    <row r="158" spans="1:60"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row>
    <row r="159" spans="1:60"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row>
    <row r="160" spans="1:60"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row>
    <row r="161" spans="1:60"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row>
    <row r="162" spans="1:60"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row>
    <row r="163" spans="1:60"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row>
    <row r="164" spans="1:60"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row>
    <row r="165" spans="1:60"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row>
    <row r="166" spans="1:60"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row>
    <row r="167" spans="1:60"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row>
    <row r="168" spans="1:60"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row>
    <row r="169" spans="1:60"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row>
    <row r="170" spans="1:60"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row>
    <row r="171" spans="1:60"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row>
    <row r="172" spans="1:60"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row>
    <row r="173" spans="1:60"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row>
    <row r="174" spans="1:60"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row>
    <row r="175" spans="1:60"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row>
    <row r="176" spans="1:60"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row>
    <row r="177" spans="1:60"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row>
    <row r="178" spans="1:60"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row>
    <row r="179" spans="1:60"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row>
    <row r="180" spans="1:60"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row>
    <row r="181" spans="1:60"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row>
    <row r="182" spans="1:60"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row>
    <row r="183" spans="1:60"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row>
    <row r="184" spans="1:60"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row>
    <row r="185" spans="1:60"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row>
    <row r="186" spans="1:60"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row>
    <row r="187" spans="1:60"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row>
    <row r="188" spans="1:60"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row>
    <row r="189" spans="1:60"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row>
    <row r="190" spans="1:60"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row>
    <row r="191" spans="1:60" x14ac:dyDescent="0.25">
      <c r="A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row>
    <row r="192" spans="1:60" x14ac:dyDescent="0.25">
      <c r="A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row>
    <row r="193" spans="1:60" x14ac:dyDescent="0.25">
      <c r="A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row>
    <row r="194" spans="1:60" x14ac:dyDescent="0.25">
      <c r="A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row>
    <row r="195" spans="1:60" x14ac:dyDescent="0.25">
      <c r="A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row>
    <row r="196" spans="1:60" x14ac:dyDescent="0.25">
      <c r="A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row>
    <row r="197" spans="1:60" x14ac:dyDescent="0.25">
      <c r="A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row>
    <row r="198" spans="1:60" x14ac:dyDescent="0.25">
      <c r="A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row>
    <row r="199" spans="1:60" x14ac:dyDescent="0.25">
      <c r="A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row>
    <row r="200" spans="1:60" x14ac:dyDescent="0.25">
      <c r="A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row>
    <row r="201" spans="1:60" x14ac:dyDescent="0.25">
      <c r="A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row>
    <row r="202" spans="1:60" x14ac:dyDescent="0.25">
      <c r="A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row>
    <row r="203" spans="1:60" x14ac:dyDescent="0.25">
      <c r="A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row>
    <row r="204" spans="1:60" x14ac:dyDescent="0.25">
      <c r="A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row>
    <row r="205" spans="1:60" x14ac:dyDescent="0.25">
      <c r="A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row>
    <row r="206" spans="1:60" x14ac:dyDescent="0.25">
      <c r="A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row>
    <row r="207" spans="1:60" x14ac:dyDescent="0.25">
      <c r="A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row>
    <row r="208" spans="1:60" x14ac:dyDescent="0.25">
      <c r="A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row>
    <row r="209" spans="1:60" x14ac:dyDescent="0.25">
      <c r="A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row>
    <row r="210" spans="1:60" x14ac:dyDescent="0.25">
      <c r="A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row>
    <row r="211" spans="1:60" x14ac:dyDescent="0.25">
      <c r="A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row>
    <row r="212" spans="1:60" x14ac:dyDescent="0.25">
      <c r="A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row>
    <row r="213" spans="1:60" x14ac:dyDescent="0.25">
      <c r="A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row>
    <row r="214" spans="1:60" x14ac:dyDescent="0.25">
      <c r="A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row>
    <row r="215" spans="1:60" x14ac:dyDescent="0.25">
      <c r="A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row>
    <row r="216" spans="1:60" x14ac:dyDescent="0.25">
      <c r="A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row>
    <row r="217" spans="1:60" x14ac:dyDescent="0.25">
      <c r="A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row>
    <row r="218" spans="1:60" x14ac:dyDescent="0.25">
      <c r="A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row>
    <row r="219" spans="1:60" x14ac:dyDescent="0.25">
      <c r="A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row>
    <row r="220" spans="1:60" x14ac:dyDescent="0.25">
      <c r="A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row>
    <row r="221" spans="1:60" x14ac:dyDescent="0.25">
      <c r="A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row>
    <row r="222" spans="1:60" x14ac:dyDescent="0.25">
      <c r="A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row>
    <row r="223" spans="1:60" x14ac:dyDescent="0.25">
      <c r="A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row>
    <row r="224" spans="1:60" x14ac:dyDescent="0.25">
      <c r="A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row>
    <row r="225" spans="1:60" x14ac:dyDescent="0.25">
      <c r="A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row>
    <row r="226" spans="1:60" x14ac:dyDescent="0.25">
      <c r="A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row>
    <row r="227" spans="1:60" x14ac:dyDescent="0.25">
      <c r="A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row>
    <row r="228" spans="1:60" x14ac:dyDescent="0.25">
      <c r="A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row>
    <row r="229" spans="1:60" x14ac:dyDescent="0.25">
      <c r="A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row>
    <row r="230" spans="1:60" x14ac:dyDescent="0.25">
      <c r="A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row>
    <row r="231" spans="1:60" x14ac:dyDescent="0.25">
      <c r="A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row>
    <row r="232" spans="1:60" x14ac:dyDescent="0.25">
      <c r="A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row>
    <row r="233" spans="1:60" x14ac:dyDescent="0.25">
      <c r="A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row>
    <row r="234" spans="1:60" x14ac:dyDescent="0.25">
      <c r="A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row>
    <row r="235" spans="1:60" x14ac:dyDescent="0.25">
      <c r="A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row>
    <row r="236" spans="1:60" x14ac:dyDescent="0.25">
      <c r="A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row>
    <row r="237" spans="1:60" x14ac:dyDescent="0.25">
      <c r="A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row>
    <row r="238" spans="1:60" x14ac:dyDescent="0.25">
      <c r="A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row>
    <row r="239" spans="1:60" x14ac:dyDescent="0.25">
      <c r="A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row>
    <row r="240" spans="1:60" x14ac:dyDescent="0.25">
      <c r="A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row>
    <row r="241" spans="1:60" x14ac:dyDescent="0.25">
      <c r="A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row>
    <row r="242" spans="1:60" x14ac:dyDescent="0.25">
      <c r="A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row>
    <row r="243" spans="1:60" x14ac:dyDescent="0.25">
      <c r="A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row>
    <row r="244" spans="1:60" x14ac:dyDescent="0.25">
      <c r="A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row>
    <row r="245" spans="1:60" x14ac:dyDescent="0.25">
      <c r="A245" s="41"/>
    </row>
    <row r="246" spans="1:60" x14ac:dyDescent="0.25">
      <c r="A246" s="41"/>
    </row>
    <row r="247" spans="1:60" x14ac:dyDescent="0.25">
      <c r="A247" s="41"/>
    </row>
    <row r="248" spans="1:60" x14ac:dyDescent="0.25">
      <c r="A248" s="4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D1" sqref="D1:D4"/>
    </sheetView>
  </sheetViews>
  <sheetFormatPr baseColWidth="10" defaultColWidth="11.5703125" defaultRowHeight="14.25" x14ac:dyDescent="0.2"/>
  <cols>
    <col min="1" max="1" width="11.5703125" style="73"/>
    <col min="2" max="2" width="24.140625" style="73" customWidth="1"/>
    <col min="3" max="3" width="70.140625" style="73" customWidth="1"/>
    <col min="4" max="4" width="42.42578125" style="73" customWidth="1"/>
    <col min="5" max="16384" width="11.5703125" style="73"/>
  </cols>
  <sheetData>
    <row r="1" spans="1:37" ht="15" x14ac:dyDescent="0.2">
      <c r="B1" s="476"/>
      <c r="C1" s="479" t="s">
        <v>0</v>
      </c>
      <c r="D1" s="63"/>
    </row>
    <row r="2" spans="1:37" ht="15" x14ac:dyDescent="0.2">
      <c r="B2" s="477"/>
      <c r="C2" s="480"/>
      <c r="D2" s="63"/>
    </row>
    <row r="3" spans="1:37" ht="15" x14ac:dyDescent="0.2">
      <c r="B3" s="477"/>
      <c r="C3" s="480"/>
      <c r="D3" s="63"/>
    </row>
    <row r="4" spans="1:37" ht="15" x14ac:dyDescent="0.2">
      <c r="B4" s="478"/>
      <c r="C4" s="481"/>
      <c r="D4" s="63"/>
    </row>
    <row r="5" spans="1:37" ht="23.25" x14ac:dyDescent="0.2">
      <c r="A5" s="74"/>
      <c r="B5" s="475" t="s">
        <v>126</v>
      </c>
      <c r="C5" s="475"/>
      <c r="D5" s="475"/>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x14ac:dyDescent="0.2">
      <c r="A6" s="74"/>
      <c r="B6" s="75"/>
      <c r="C6" s="75"/>
      <c r="D6" s="75"/>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18" x14ac:dyDescent="0.2">
      <c r="A7" s="74"/>
      <c r="B7" s="93"/>
      <c r="C7" s="94" t="s">
        <v>127</v>
      </c>
      <c r="D7" s="94" t="s">
        <v>110</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36" x14ac:dyDescent="0.2">
      <c r="A8" s="74"/>
      <c r="B8" s="95" t="s">
        <v>128</v>
      </c>
      <c r="C8" s="96" t="s">
        <v>129</v>
      </c>
      <c r="D8" s="97">
        <v>0.2</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ht="36" x14ac:dyDescent="0.2">
      <c r="A9" s="74"/>
      <c r="B9" s="98" t="s">
        <v>130</v>
      </c>
      <c r="C9" s="96" t="s">
        <v>131</v>
      </c>
      <c r="D9" s="97">
        <v>0.4</v>
      </c>
      <c r="E9" s="74"/>
      <c r="F9" s="74"/>
      <c r="G9" s="74"/>
      <c r="H9" s="74"/>
      <c r="I9" s="74"/>
      <c r="J9" s="74"/>
      <c r="K9" s="74"/>
      <c r="L9" s="74"/>
      <c r="M9" s="74"/>
      <c r="N9" s="74"/>
      <c r="O9" s="74"/>
      <c r="P9" s="74"/>
      <c r="Q9" s="74"/>
      <c r="R9" s="74"/>
      <c r="S9" s="74"/>
      <c r="T9" s="74"/>
      <c r="U9" s="74"/>
      <c r="V9" s="74"/>
      <c r="W9" s="74"/>
      <c r="X9" s="74"/>
      <c r="Y9" s="74"/>
      <c r="Z9" s="74"/>
      <c r="AA9" s="74"/>
      <c r="AB9" s="74"/>
      <c r="AC9" s="74"/>
      <c r="AD9" s="74"/>
      <c r="AE9" s="74"/>
    </row>
    <row r="10" spans="1:37" ht="36" x14ac:dyDescent="0.2">
      <c r="A10" s="74"/>
      <c r="B10" s="99" t="s">
        <v>132</v>
      </c>
      <c r="C10" s="96" t="s">
        <v>133</v>
      </c>
      <c r="D10" s="97">
        <v>0.6</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row>
    <row r="11" spans="1:37" ht="36" x14ac:dyDescent="0.2">
      <c r="A11" s="74"/>
      <c r="B11" s="100" t="s">
        <v>134</v>
      </c>
      <c r="C11" s="96" t="s">
        <v>135</v>
      </c>
      <c r="D11" s="97">
        <v>0.8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1:37" ht="36" x14ac:dyDescent="0.2">
      <c r="A12" s="74"/>
      <c r="B12" s="101" t="s">
        <v>136</v>
      </c>
      <c r="C12" s="96" t="s">
        <v>137</v>
      </c>
      <c r="D12" s="97">
        <v>1</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row>
    <row r="13" spans="1:37" x14ac:dyDescent="0.2">
      <c r="A13" s="74"/>
      <c r="B13" s="84"/>
      <c r="C13" s="84"/>
      <c r="D13" s="8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ht="15" x14ac:dyDescent="0.2">
      <c r="A14" s="74"/>
      <c r="B14" s="92"/>
      <c r="C14" s="84"/>
      <c r="D14" s="8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
      <c r="A15" s="74"/>
      <c r="B15" s="84"/>
      <c r="C15" s="84"/>
      <c r="D15" s="8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
      <c r="A16" s="74"/>
      <c r="B16" s="84"/>
      <c r="C16" s="84"/>
      <c r="D16" s="8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
      <c r="A17" s="74"/>
      <c r="B17" s="84"/>
      <c r="C17" s="84"/>
      <c r="D17" s="8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
      <c r="A18" s="74"/>
      <c r="B18" s="84"/>
      <c r="C18" s="84"/>
      <c r="D18" s="8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
      <c r="A19" s="74"/>
      <c r="B19" s="84"/>
      <c r="C19" s="84"/>
      <c r="D19" s="8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
      <c r="A20" s="74"/>
      <c r="B20" s="84"/>
      <c r="C20" s="84"/>
      <c r="D20" s="8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
      <c r="A21" s="74"/>
      <c r="B21" s="84"/>
      <c r="C21" s="84"/>
      <c r="D21" s="8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
      <c r="A22" s="74"/>
      <c r="B22" s="84"/>
      <c r="C22" s="84"/>
      <c r="D22" s="8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7"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row>
    <row r="34" spans="1:37"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row>
    <row r="35" spans="1:37"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row>
    <row r="36" spans="1:37"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row>
    <row r="37" spans="1:37" x14ac:dyDescent="0.2">
      <c r="A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7" x14ac:dyDescent="0.2">
      <c r="A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7" x14ac:dyDescent="0.2">
      <c r="A39" s="74"/>
    </row>
    <row r="40" spans="1:37" x14ac:dyDescent="0.2">
      <c r="A40" s="74"/>
    </row>
    <row r="41" spans="1:37" x14ac:dyDescent="0.2">
      <c r="A41" s="74"/>
    </row>
    <row r="42" spans="1:37" x14ac:dyDescent="0.2">
      <c r="A42" s="74"/>
    </row>
    <row r="43" spans="1:37" x14ac:dyDescent="0.2">
      <c r="A43" s="74"/>
    </row>
    <row r="44" spans="1:37" x14ac:dyDescent="0.2">
      <c r="A44" s="74"/>
    </row>
    <row r="45" spans="1:37" x14ac:dyDescent="0.2">
      <c r="A45" s="74"/>
    </row>
    <row r="46" spans="1:37" x14ac:dyDescent="0.2">
      <c r="A46" s="74"/>
    </row>
    <row r="47" spans="1:37" x14ac:dyDescent="0.2">
      <c r="A47" s="74"/>
    </row>
    <row r="48" spans="1:37"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sheetData>
  <mergeCells count="3">
    <mergeCell ref="B5:D5"/>
    <mergeCell ref="B1:B4"/>
    <mergeCell ref="C1: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8" sqref="F8"/>
    </sheetView>
  </sheetViews>
  <sheetFormatPr baseColWidth="10" defaultColWidth="11.5703125" defaultRowHeight="14.25" x14ac:dyDescent="0.2"/>
  <cols>
    <col min="1" max="1" width="11.5703125" style="73"/>
    <col min="2" max="2" width="40.42578125" style="73" customWidth="1"/>
    <col min="3" max="3" width="27.85546875" style="73" customWidth="1"/>
    <col min="4" max="4" width="43.7109375" style="73" customWidth="1"/>
    <col min="5" max="5" width="55.5703125" style="73" customWidth="1"/>
    <col min="6" max="6" width="144.7109375" style="73" bestFit="1" customWidth="1"/>
    <col min="7" max="16384" width="11.5703125" style="73"/>
  </cols>
  <sheetData>
    <row r="1" spans="1:22" ht="26.25" customHeight="1" x14ac:dyDescent="0.2">
      <c r="B1" s="486"/>
      <c r="C1" s="487" t="s">
        <v>0</v>
      </c>
      <c r="D1" s="488"/>
      <c r="E1" s="63"/>
    </row>
    <row r="2" spans="1:22" ht="26.25" customHeight="1" x14ac:dyDescent="0.2">
      <c r="B2" s="486"/>
      <c r="C2" s="489"/>
      <c r="D2" s="490"/>
      <c r="E2" s="63"/>
    </row>
    <row r="3" spans="1:22" ht="26.25" customHeight="1" x14ac:dyDescent="0.2">
      <c r="B3" s="486"/>
      <c r="C3" s="489"/>
      <c r="D3" s="490"/>
      <c r="E3" s="63"/>
    </row>
    <row r="4" spans="1:22" ht="28.5" customHeight="1" x14ac:dyDescent="0.2">
      <c r="B4" s="486"/>
      <c r="C4" s="491"/>
      <c r="D4" s="492"/>
      <c r="E4" s="63"/>
    </row>
    <row r="5" spans="1:22" ht="33.75" x14ac:dyDescent="0.2">
      <c r="A5" s="74"/>
      <c r="B5" s="485" t="s">
        <v>138</v>
      </c>
      <c r="C5" s="485"/>
      <c r="D5" s="485"/>
      <c r="E5" s="485"/>
      <c r="F5" s="74"/>
      <c r="G5" s="74"/>
      <c r="H5" s="74"/>
      <c r="I5" s="74"/>
      <c r="J5" s="74"/>
      <c r="K5" s="74"/>
      <c r="L5" s="74"/>
      <c r="M5" s="74"/>
      <c r="N5" s="74"/>
      <c r="O5" s="74"/>
      <c r="P5" s="74"/>
      <c r="Q5" s="74"/>
      <c r="R5" s="74"/>
      <c r="S5" s="74"/>
      <c r="T5" s="74"/>
      <c r="U5" s="74"/>
      <c r="V5" s="74"/>
    </row>
    <row r="6" spans="1:22" x14ac:dyDescent="0.2">
      <c r="A6" s="74"/>
      <c r="B6" s="75"/>
      <c r="C6" s="75"/>
      <c r="D6" s="75"/>
      <c r="E6" s="75"/>
      <c r="F6" s="74"/>
      <c r="G6" s="74"/>
      <c r="H6" s="74"/>
      <c r="I6" s="74"/>
      <c r="J6" s="74"/>
      <c r="K6" s="74"/>
      <c r="L6" s="74"/>
      <c r="M6" s="74"/>
      <c r="N6" s="74"/>
      <c r="O6" s="74"/>
      <c r="P6" s="74"/>
      <c r="Q6" s="74"/>
      <c r="R6" s="74"/>
      <c r="S6" s="74"/>
      <c r="T6" s="74"/>
      <c r="U6" s="74"/>
      <c r="V6" s="74"/>
    </row>
    <row r="7" spans="1:22" ht="30" customHeight="1" x14ac:dyDescent="0.2">
      <c r="A7" s="74"/>
      <c r="B7" s="64"/>
      <c r="C7" s="482" t="s">
        <v>139</v>
      </c>
      <c r="D7" s="483"/>
      <c r="E7" s="484"/>
      <c r="F7" s="74"/>
      <c r="G7" s="74"/>
      <c r="H7" s="74"/>
      <c r="I7" s="74"/>
      <c r="J7" s="74"/>
      <c r="K7" s="74"/>
      <c r="L7" s="74"/>
      <c r="M7" s="74"/>
      <c r="N7" s="74"/>
      <c r="O7" s="74"/>
      <c r="P7" s="74"/>
      <c r="Q7" s="74"/>
      <c r="R7" s="74"/>
      <c r="S7" s="74"/>
      <c r="T7" s="74"/>
      <c r="U7" s="74"/>
      <c r="V7" s="74"/>
    </row>
    <row r="8" spans="1:22" ht="88.5" customHeight="1" x14ac:dyDescent="0.2">
      <c r="A8" s="76" t="s">
        <v>140</v>
      </c>
      <c r="B8" s="77" t="s">
        <v>141</v>
      </c>
      <c r="C8" s="172" t="s">
        <v>142</v>
      </c>
      <c r="D8" s="173"/>
      <c r="E8" s="174"/>
      <c r="F8" s="74"/>
      <c r="G8" s="74"/>
      <c r="H8" s="74"/>
      <c r="I8" s="74"/>
      <c r="J8" s="74"/>
      <c r="K8" s="74"/>
      <c r="L8" s="74"/>
      <c r="M8" s="74"/>
      <c r="N8" s="74"/>
      <c r="O8" s="74"/>
      <c r="P8" s="74"/>
      <c r="Q8" s="74"/>
      <c r="R8" s="74"/>
      <c r="S8" s="74"/>
      <c r="T8" s="74"/>
      <c r="U8" s="74"/>
      <c r="V8" s="74"/>
    </row>
    <row r="9" spans="1:22" ht="75.75" customHeight="1" x14ac:dyDescent="0.2">
      <c r="A9" s="76" t="s">
        <v>143</v>
      </c>
      <c r="B9" s="78" t="s">
        <v>144</v>
      </c>
      <c r="C9" s="172" t="s">
        <v>145</v>
      </c>
      <c r="D9" s="173"/>
      <c r="E9" s="174"/>
      <c r="F9" s="74"/>
      <c r="G9" s="74"/>
      <c r="H9" s="74"/>
      <c r="I9" s="74"/>
      <c r="J9" s="74"/>
      <c r="K9" s="74"/>
      <c r="L9" s="74"/>
      <c r="M9" s="74"/>
      <c r="N9" s="74"/>
      <c r="O9" s="74"/>
      <c r="P9" s="74"/>
      <c r="Q9" s="74"/>
      <c r="R9" s="74"/>
      <c r="S9" s="74"/>
      <c r="T9" s="74"/>
      <c r="U9" s="74"/>
      <c r="V9" s="74"/>
    </row>
    <row r="10" spans="1:22" ht="78.75" customHeight="1" x14ac:dyDescent="0.2">
      <c r="A10" s="76" t="s">
        <v>116</v>
      </c>
      <c r="B10" s="79" t="s">
        <v>146</v>
      </c>
      <c r="C10" s="172" t="s">
        <v>147</v>
      </c>
      <c r="D10" s="173"/>
      <c r="E10" s="174"/>
      <c r="F10" s="74"/>
      <c r="G10" s="74"/>
      <c r="H10" s="74"/>
      <c r="I10" s="74"/>
      <c r="J10" s="74"/>
      <c r="K10" s="74"/>
      <c r="L10" s="74"/>
      <c r="M10" s="74"/>
      <c r="N10" s="74"/>
      <c r="O10" s="74"/>
      <c r="P10" s="74"/>
      <c r="Q10" s="74"/>
      <c r="R10" s="74"/>
      <c r="S10" s="74"/>
      <c r="T10" s="74"/>
      <c r="U10" s="74"/>
      <c r="V10" s="74"/>
    </row>
    <row r="11" spans="1:22" ht="78.75" customHeight="1" x14ac:dyDescent="0.2">
      <c r="A11" s="76" t="s">
        <v>148</v>
      </c>
      <c r="B11" s="80" t="s">
        <v>149</v>
      </c>
      <c r="C11" s="172" t="s">
        <v>150</v>
      </c>
      <c r="D11" s="173"/>
      <c r="E11" s="174"/>
      <c r="F11" s="74"/>
      <c r="G11" s="74"/>
      <c r="H11" s="74"/>
      <c r="I11" s="74"/>
      <c r="J11" s="74"/>
      <c r="K11" s="74"/>
      <c r="L11" s="74"/>
      <c r="M11" s="74"/>
      <c r="N11" s="74"/>
      <c r="O11" s="74"/>
      <c r="P11" s="74"/>
      <c r="Q11" s="74"/>
      <c r="R11" s="74"/>
      <c r="S11" s="74"/>
      <c r="T11" s="74"/>
      <c r="U11" s="74"/>
      <c r="V11" s="74"/>
    </row>
    <row r="12" spans="1:22" ht="85.5" customHeight="1" x14ac:dyDescent="0.2">
      <c r="A12" s="76" t="s">
        <v>151</v>
      </c>
      <c r="B12" s="81" t="s">
        <v>152</v>
      </c>
      <c r="C12" s="172" t="s">
        <v>153</v>
      </c>
      <c r="D12" s="173"/>
      <c r="E12" s="174"/>
      <c r="F12" s="74"/>
      <c r="G12" s="74"/>
      <c r="H12" s="74"/>
      <c r="I12" s="74"/>
      <c r="J12" s="74"/>
      <c r="K12" s="74"/>
      <c r="L12" s="74"/>
      <c r="M12" s="74"/>
      <c r="N12" s="74"/>
      <c r="O12" s="74"/>
      <c r="P12" s="74"/>
      <c r="Q12" s="74"/>
      <c r="R12" s="74"/>
      <c r="S12" s="74"/>
      <c r="T12" s="74"/>
      <c r="U12" s="74"/>
      <c r="V12" s="74"/>
    </row>
    <row r="13" spans="1:22" ht="20.25" x14ac:dyDescent="0.2">
      <c r="A13" s="76"/>
      <c r="B13" s="76"/>
      <c r="C13" s="82"/>
      <c r="D13" s="82"/>
      <c r="E13" s="82"/>
      <c r="F13" s="74"/>
      <c r="G13" s="74"/>
      <c r="H13" s="74"/>
      <c r="I13" s="74"/>
      <c r="J13" s="74"/>
      <c r="K13" s="74"/>
      <c r="L13" s="74"/>
      <c r="M13" s="74"/>
      <c r="N13" s="74"/>
      <c r="O13" s="74"/>
      <c r="P13" s="74"/>
      <c r="Q13" s="74"/>
      <c r="R13" s="74"/>
      <c r="S13" s="74"/>
      <c r="T13" s="74"/>
      <c r="U13" s="74"/>
      <c r="V13" s="74"/>
    </row>
    <row r="14" spans="1:22" ht="15" x14ac:dyDescent="0.2">
      <c r="A14" s="76"/>
      <c r="B14" s="83"/>
      <c r="C14" s="83"/>
      <c r="D14" s="83"/>
      <c r="E14" s="83"/>
      <c r="F14" s="74"/>
      <c r="G14" s="74"/>
      <c r="H14" s="74"/>
      <c r="I14" s="74"/>
      <c r="J14" s="74"/>
      <c r="K14" s="74"/>
      <c r="L14" s="74"/>
      <c r="M14" s="74"/>
      <c r="N14" s="74"/>
      <c r="O14" s="74"/>
      <c r="P14" s="74"/>
      <c r="Q14" s="74"/>
      <c r="R14" s="74"/>
      <c r="S14" s="74"/>
      <c r="T14" s="74"/>
      <c r="U14" s="74"/>
      <c r="V14" s="74"/>
    </row>
    <row r="15" spans="1:22" x14ac:dyDescent="0.2">
      <c r="A15" s="76"/>
      <c r="B15" s="76" t="s">
        <v>154</v>
      </c>
      <c r="C15" s="76" t="s">
        <v>155</v>
      </c>
      <c r="D15" s="76"/>
      <c r="E15" s="76" t="s">
        <v>156</v>
      </c>
      <c r="F15" s="74"/>
      <c r="G15" s="74"/>
      <c r="H15" s="74"/>
      <c r="I15" s="74"/>
      <c r="J15" s="74"/>
      <c r="K15" s="74"/>
      <c r="L15" s="74"/>
      <c r="M15" s="74"/>
      <c r="N15" s="74"/>
      <c r="O15" s="74"/>
      <c r="P15" s="74"/>
      <c r="Q15" s="74"/>
      <c r="R15" s="74"/>
      <c r="S15" s="74"/>
      <c r="T15" s="74"/>
      <c r="U15" s="74"/>
      <c r="V15" s="74"/>
    </row>
    <row r="16" spans="1:22" x14ac:dyDescent="0.2">
      <c r="A16" s="76"/>
      <c r="B16" s="76" t="s">
        <v>157</v>
      </c>
      <c r="C16" s="76" t="s">
        <v>158</v>
      </c>
      <c r="D16" s="76"/>
      <c r="E16" s="76" t="s">
        <v>159</v>
      </c>
      <c r="F16" s="74"/>
      <c r="G16" s="74"/>
      <c r="H16" s="74"/>
      <c r="I16" s="74"/>
      <c r="J16" s="74"/>
      <c r="K16" s="74"/>
      <c r="L16" s="74"/>
      <c r="M16" s="74"/>
      <c r="N16" s="74"/>
      <c r="O16" s="74"/>
      <c r="P16" s="74"/>
      <c r="Q16" s="74"/>
      <c r="R16" s="74"/>
      <c r="S16" s="74"/>
      <c r="T16" s="74"/>
      <c r="U16" s="74"/>
      <c r="V16" s="74"/>
    </row>
    <row r="17" spans="1:22" x14ac:dyDescent="0.2">
      <c r="A17" s="76"/>
      <c r="B17" s="76"/>
      <c r="C17" s="76" t="s">
        <v>160</v>
      </c>
      <c r="D17" s="76"/>
      <c r="E17" s="76" t="s">
        <v>161</v>
      </c>
      <c r="F17" s="74"/>
      <c r="G17" s="74"/>
      <c r="H17" s="74"/>
      <c r="I17" s="74"/>
      <c r="J17" s="74"/>
      <c r="K17" s="74"/>
      <c r="L17" s="74"/>
      <c r="M17" s="74"/>
      <c r="N17" s="74"/>
      <c r="O17" s="74"/>
      <c r="P17" s="74"/>
      <c r="Q17" s="74"/>
      <c r="R17" s="74"/>
      <c r="S17" s="74"/>
      <c r="T17" s="74"/>
      <c r="U17" s="74"/>
      <c r="V17" s="74"/>
    </row>
    <row r="18" spans="1:22" x14ac:dyDescent="0.2">
      <c r="A18" s="76"/>
      <c r="B18" s="76"/>
      <c r="C18" s="76" t="s">
        <v>98</v>
      </c>
      <c r="D18" s="76"/>
      <c r="E18" s="76" t="s">
        <v>162</v>
      </c>
      <c r="F18" s="74"/>
      <c r="G18" s="74"/>
      <c r="H18" s="74"/>
      <c r="I18" s="74"/>
      <c r="J18" s="74"/>
      <c r="K18" s="74"/>
      <c r="L18" s="74"/>
      <c r="M18" s="74"/>
      <c r="N18" s="74"/>
      <c r="O18" s="74"/>
      <c r="P18" s="74"/>
      <c r="Q18" s="74"/>
      <c r="R18" s="74"/>
      <c r="S18" s="74"/>
      <c r="T18" s="74"/>
      <c r="U18" s="74"/>
      <c r="V18" s="74"/>
    </row>
    <row r="19" spans="1:22" x14ac:dyDescent="0.2">
      <c r="A19" s="76"/>
      <c r="B19" s="76"/>
      <c r="C19" s="76" t="s">
        <v>163</v>
      </c>
      <c r="D19" s="76"/>
      <c r="E19" s="76" t="s">
        <v>164</v>
      </c>
      <c r="F19" s="74"/>
      <c r="G19" s="74"/>
      <c r="H19" s="74"/>
      <c r="I19" s="74"/>
      <c r="J19" s="74"/>
      <c r="K19" s="74"/>
      <c r="L19" s="74"/>
      <c r="M19" s="74"/>
      <c r="N19" s="74"/>
      <c r="O19" s="74"/>
      <c r="P19" s="74"/>
      <c r="Q19" s="74"/>
      <c r="R19" s="74"/>
      <c r="S19" s="74"/>
      <c r="T19" s="74"/>
      <c r="U19" s="74"/>
      <c r="V19" s="74"/>
    </row>
    <row r="20" spans="1:22" x14ac:dyDescent="0.2">
      <c r="A20" s="76"/>
      <c r="B20" s="76"/>
      <c r="C20" s="76"/>
      <c r="D20" s="76"/>
      <c r="E20" s="76"/>
      <c r="F20" s="74"/>
      <c r="G20" s="74"/>
      <c r="H20" s="74"/>
      <c r="I20" s="74"/>
      <c r="J20" s="74"/>
      <c r="K20" s="74"/>
      <c r="L20" s="74"/>
      <c r="M20" s="74"/>
      <c r="N20" s="74"/>
      <c r="O20" s="74"/>
      <c r="P20" s="74"/>
    </row>
    <row r="21" spans="1:22" x14ac:dyDescent="0.2">
      <c r="A21" s="76"/>
      <c r="B21" s="76"/>
      <c r="C21" s="76"/>
      <c r="D21" s="76"/>
      <c r="E21" s="76"/>
      <c r="F21" s="74"/>
      <c r="G21" s="74"/>
      <c r="H21" s="74"/>
      <c r="I21" s="74"/>
      <c r="J21" s="74"/>
      <c r="K21" s="74"/>
      <c r="L21" s="74"/>
      <c r="M21" s="74"/>
      <c r="N21" s="74"/>
      <c r="O21" s="74"/>
      <c r="P21" s="74"/>
    </row>
    <row r="22" spans="1:22" x14ac:dyDescent="0.2">
      <c r="A22" s="76"/>
      <c r="B22" s="84"/>
      <c r="C22" s="84"/>
      <c r="D22" s="84"/>
      <c r="E22" s="84"/>
      <c r="F22" s="74"/>
      <c r="G22" s="74"/>
      <c r="H22" s="74"/>
      <c r="I22" s="74"/>
      <c r="J22" s="74"/>
      <c r="K22" s="74"/>
      <c r="L22" s="74"/>
      <c r="M22" s="74"/>
      <c r="N22" s="74"/>
      <c r="O22" s="74"/>
      <c r="P22" s="74"/>
    </row>
    <row r="23" spans="1:22" x14ac:dyDescent="0.2">
      <c r="A23" s="76"/>
      <c r="B23" s="84"/>
      <c r="C23" s="84"/>
      <c r="D23" s="84"/>
      <c r="E23" s="84"/>
      <c r="F23" s="74"/>
      <c r="G23" s="74"/>
      <c r="H23" s="74"/>
      <c r="I23" s="74"/>
      <c r="J23" s="74"/>
      <c r="K23" s="74"/>
      <c r="L23" s="74"/>
      <c r="M23" s="74"/>
      <c r="N23" s="74"/>
      <c r="O23" s="74"/>
      <c r="P23" s="74"/>
    </row>
    <row r="24" spans="1:22" x14ac:dyDescent="0.2">
      <c r="A24" s="76"/>
      <c r="B24" s="84"/>
      <c r="C24" s="84"/>
      <c r="D24" s="84"/>
      <c r="E24" s="84"/>
      <c r="F24" s="74"/>
      <c r="G24" s="74"/>
      <c r="H24" s="74"/>
      <c r="I24" s="74"/>
      <c r="J24" s="74"/>
      <c r="K24" s="74"/>
      <c r="L24" s="74"/>
      <c r="M24" s="74"/>
      <c r="N24" s="74"/>
      <c r="O24" s="74"/>
      <c r="P24" s="74"/>
    </row>
    <row r="25" spans="1:22" x14ac:dyDescent="0.2">
      <c r="A25" s="76"/>
      <c r="B25" s="84"/>
      <c r="C25" s="84"/>
      <c r="D25" s="84"/>
      <c r="E25" s="84"/>
      <c r="F25" s="74"/>
      <c r="G25" s="74"/>
      <c r="H25" s="74"/>
      <c r="I25" s="74"/>
      <c r="J25" s="74"/>
      <c r="K25" s="74"/>
      <c r="L25" s="74"/>
      <c r="M25" s="74"/>
      <c r="N25" s="74"/>
      <c r="O25" s="74"/>
      <c r="P25" s="74"/>
    </row>
    <row r="26" spans="1:22" ht="20.25" x14ac:dyDescent="0.2">
      <c r="A26" s="76"/>
      <c r="B26" s="76"/>
      <c r="C26" s="82"/>
      <c r="D26" s="82"/>
      <c r="E26" s="82"/>
      <c r="F26" s="74"/>
      <c r="G26" s="74"/>
      <c r="H26" s="74"/>
      <c r="I26" s="74"/>
      <c r="J26" s="74"/>
      <c r="K26" s="74"/>
      <c r="L26" s="74"/>
      <c r="M26" s="74"/>
      <c r="N26" s="74"/>
      <c r="O26" s="74"/>
      <c r="P26" s="74"/>
    </row>
    <row r="27" spans="1:22" ht="20.25" x14ac:dyDescent="0.2">
      <c r="A27" s="76"/>
      <c r="B27" s="76"/>
      <c r="C27" s="82"/>
      <c r="D27" s="82"/>
      <c r="E27" s="82"/>
      <c r="F27" s="74"/>
      <c r="G27" s="74"/>
      <c r="H27" s="74"/>
      <c r="I27" s="74"/>
      <c r="J27" s="74"/>
      <c r="K27" s="74"/>
      <c r="L27" s="74"/>
      <c r="M27" s="74"/>
      <c r="N27" s="74"/>
      <c r="O27" s="74"/>
      <c r="P27" s="74"/>
    </row>
    <row r="28" spans="1:22" ht="20.25" x14ac:dyDescent="0.2">
      <c r="A28" s="76"/>
      <c r="B28" s="76"/>
      <c r="C28" s="82"/>
      <c r="D28" s="82"/>
      <c r="E28" s="82"/>
      <c r="F28" s="74"/>
      <c r="G28" s="74"/>
      <c r="H28" s="74"/>
      <c r="I28" s="74"/>
      <c r="J28" s="74"/>
      <c r="K28" s="74"/>
      <c r="L28" s="74"/>
      <c r="M28" s="74"/>
      <c r="N28" s="74"/>
      <c r="O28" s="74"/>
      <c r="P28" s="74"/>
    </row>
    <row r="29" spans="1:22" ht="20.25" x14ac:dyDescent="0.2">
      <c r="A29" s="76"/>
      <c r="B29" s="76"/>
      <c r="C29" s="82"/>
      <c r="D29" s="82"/>
      <c r="E29" s="82"/>
      <c r="F29" s="74"/>
      <c r="G29" s="74"/>
      <c r="H29" s="74"/>
      <c r="I29" s="74"/>
      <c r="J29" s="74"/>
      <c r="K29" s="74"/>
      <c r="L29" s="74"/>
      <c r="M29" s="74"/>
      <c r="N29" s="74"/>
      <c r="O29" s="74"/>
      <c r="P29" s="74"/>
    </row>
    <row r="30" spans="1:22" ht="20.25" x14ac:dyDescent="0.2">
      <c r="A30" s="76"/>
      <c r="B30" s="76"/>
      <c r="C30" s="82"/>
      <c r="D30" s="82"/>
      <c r="E30" s="82"/>
      <c r="F30" s="74"/>
      <c r="G30" s="74"/>
      <c r="H30" s="74"/>
      <c r="I30" s="74"/>
      <c r="J30" s="74"/>
      <c r="K30" s="74"/>
      <c r="L30" s="74"/>
      <c r="M30" s="74"/>
      <c r="N30" s="74"/>
      <c r="O30" s="74"/>
      <c r="P30" s="74"/>
    </row>
    <row r="31" spans="1:22" ht="20.25" x14ac:dyDescent="0.2">
      <c r="A31" s="76"/>
      <c r="B31" s="76"/>
      <c r="C31" s="82"/>
      <c r="D31" s="82"/>
      <c r="E31" s="82"/>
      <c r="F31" s="74"/>
      <c r="G31" s="74"/>
      <c r="H31" s="74"/>
      <c r="I31" s="74"/>
      <c r="J31" s="74"/>
      <c r="K31" s="74"/>
      <c r="L31" s="74"/>
      <c r="M31" s="74"/>
      <c r="N31" s="74"/>
      <c r="O31" s="74"/>
      <c r="P31" s="74"/>
    </row>
    <row r="32" spans="1:22" ht="20.25" x14ac:dyDescent="0.2">
      <c r="A32" s="76"/>
      <c r="B32" s="76"/>
      <c r="C32" s="82"/>
      <c r="D32" s="82"/>
      <c r="E32" s="82"/>
      <c r="F32" s="74"/>
      <c r="G32" s="74"/>
      <c r="H32" s="74"/>
      <c r="I32" s="74"/>
      <c r="J32" s="74"/>
      <c r="K32" s="74"/>
      <c r="L32" s="74"/>
      <c r="M32" s="74"/>
      <c r="N32" s="74"/>
      <c r="O32" s="74"/>
      <c r="P32" s="74"/>
    </row>
    <row r="33" spans="1:16" ht="20.25" x14ac:dyDescent="0.2">
      <c r="A33" s="76"/>
      <c r="B33" s="76"/>
      <c r="C33" s="82"/>
      <c r="D33" s="82"/>
      <c r="E33" s="82"/>
      <c r="F33" s="74"/>
      <c r="G33" s="74"/>
      <c r="H33" s="74"/>
      <c r="I33" s="74"/>
      <c r="J33" s="74"/>
      <c r="K33" s="74"/>
      <c r="L33" s="74"/>
      <c r="M33" s="74"/>
      <c r="N33" s="74"/>
      <c r="O33" s="74"/>
      <c r="P33" s="74"/>
    </row>
    <row r="34" spans="1:16" ht="20.25" x14ac:dyDescent="0.2">
      <c r="A34" s="76"/>
      <c r="B34" s="76"/>
      <c r="C34" s="82"/>
      <c r="D34" s="82"/>
      <c r="E34" s="82"/>
      <c r="F34" s="74"/>
      <c r="G34" s="74"/>
      <c r="H34" s="74"/>
      <c r="I34" s="74"/>
      <c r="J34" s="74"/>
      <c r="K34" s="74"/>
      <c r="L34" s="74"/>
      <c r="M34" s="74"/>
      <c r="N34" s="74"/>
      <c r="O34" s="74"/>
      <c r="P34" s="74"/>
    </row>
    <row r="35" spans="1:16" ht="20.25" x14ac:dyDescent="0.2">
      <c r="A35" s="76"/>
      <c r="B35" s="76"/>
      <c r="C35" s="82"/>
      <c r="D35" s="82"/>
      <c r="E35" s="82"/>
      <c r="F35" s="74"/>
      <c r="G35" s="74"/>
      <c r="H35" s="74"/>
      <c r="I35" s="74"/>
      <c r="J35" s="74"/>
      <c r="K35" s="74"/>
      <c r="L35" s="74"/>
      <c r="M35" s="74"/>
      <c r="N35" s="74"/>
      <c r="O35" s="74"/>
      <c r="P35" s="74"/>
    </row>
    <row r="36" spans="1:16" ht="20.25" x14ac:dyDescent="0.2">
      <c r="A36" s="76"/>
      <c r="B36" s="76"/>
      <c r="C36" s="82"/>
      <c r="D36" s="82"/>
      <c r="E36" s="82"/>
      <c r="F36" s="74"/>
      <c r="G36" s="74"/>
      <c r="H36" s="74"/>
      <c r="I36" s="74"/>
      <c r="J36" s="74"/>
      <c r="K36" s="74"/>
      <c r="L36" s="74"/>
      <c r="M36" s="74"/>
      <c r="N36" s="74"/>
      <c r="O36" s="74"/>
      <c r="P36" s="74"/>
    </row>
    <row r="37" spans="1:16" ht="20.25" x14ac:dyDescent="0.2">
      <c r="A37" s="76"/>
      <c r="B37" s="76"/>
      <c r="C37" s="82"/>
      <c r="D37" s="82"/>
      <c r="E37" s="82"/>
      <c r="F37" s="74"/>
      <c r="G37" s="74"/>
      <c r="H37" s="74"/>
      <c r="I37" s="74"/>
      <c r="J37" s="74"/>
      <c r="K37" s="74"/>
      <c r="L37" s="74"/>
      <c r="M37" s="74"/>
      <c r="N37" s="74"/>
      <c r="O37" s="74"/>
      <c r="P37" s="74"/>
    </row>
    <row r="38" spans="1:16" ht="20.25" x14ac:dyDescent="0.2">
      <c r="A38" s="76"/>
      <c r="B38" s="76"/>
      <c r="C38" s="82"/>
      <c r="D38" s="82"/>
      <c r="E38" s="82"/>
      <c r="F38" s="74"/>
      <c r="G38" s="74"/>
      <c r="H38" s="74"/>
      <c r="I38" s="74"/>
      <c r="J38" s="74"/>
      <c r="K38" s="74"/>
      <c r="L38" s="74"/>
      <c r="M38" s="74"/>
      <c r="N38" s="74"/>
      <c r="O38" s="74"/>
      <c r="P38" s="74"/>
    </row>
    <row r="39" spans="1:16" ht="20.25" x14ac:dyDescent="0.2">
      <c r="A39" s="76"/>
      <c r="B39" s="76"/>
      <c r="C39" s="82"/>
      <c r="D39" s="82"/>
      <c r="E39" s="82"/>
      <c r="F39" s="74"/>
      <c r="G39" s="74"/>
      <c r="H39" s="74"/>
      <c r="I39" s="74"/>
      <c r="J39" s="74"/>
      <c r="K39" s="74"/>
      <c r="L39" s="74"/>
      <c r="M39" s="74"/>
      <c r="N39" s="74"/>
      <c r="O39" s="74"/>
      <c r="P39" s="74"/>
    </row>
    <row r="40" spans="1:16" ht="20.25" x14ac:dyDescent="0.2">
      <c r="A40" s="76"/>
      <c r="B40" s="76"/>
      <c r="C40" s="82"/>
      <c r="D40" s="82"/>
      <c r="E40" s="82"/>
      <c r="F40" s="74"/>
      <c r="G40" s="74"/>
      <c r="H40" s="74"/>
      <c r="I40" s="74"/>
      <c r="J40" s="74"/>
      <c r="K40" s="74"/>
      <c r="L40" s="74"/>
      <c r="M40" s="74"/>
      <c r="N40" s="74"/>
      <c r="O40" s="74"/>
      <c r="P40" s="74"/>
    </row>
    <row r="41" spans="1:16" ht="20.25" x14ac:dyDescent="0.2">
      <c r="A41" s="76"/>
      <c r="B41" s="76"/>
      <c r="C41" s="82"/>
      <c r="D41" s="82"/>
      <c r="E41" s="82"/>
      <c r="F41" s="74"/>
      <c r="G41" s="74"/>
      <c r="H41" s="74"/>
      <c r="I41" s="74"/>
      <c r="J41" s="74"/>
      <c r="K41" s="74"/>
      <c r="L41" s="74"/>
      <c r="M41" s="74"/>
      <c r="N41" s="74"/>
      <c r="O41" s="74"/>
      <c r="P41" s="74"/>
    </row>
    <row r="42" spans="1:16" ht="20.25" x14ac:dyDescent="0.2">
      <c r="A42" s="76"/>
      <c r="B42" s="76"/>
      <c r="C42" s="82"/>
      <c r="D42" s="82"/>
      <c r="E42" s="82"/>
      <c r="F42" s="74"/>
      <c r="G42" s="74"/>
      <c r="H42" s="74"/>
      <c r="I42" s="74"/>
      <c r="J42" s="74"/>
      <c r="K42" s="74"/>
      <c r="L42" s="74"/>
      <c r="M42" s="74"/>
      <c r="N42" s="74"/>
      <c r="O42" s="74"/>
      <c r="P42" s="74"/>
    </row>
    <row r="43" spans="1:16" ht="20.25" x14ac:dyDescent="0.2">
      <c r="A43" s="76"/>
      <c r="B43" s="76"/>
      <c r="C43" s="82"/>
      <c r="D43" s="82"/>
      <c r="E43" s="82"/>
      <c r="F43" s="74"/>
      <c r="G43" s="74"/>
      <c r="H43" s="74"/>
      <c r="I43" s="74"/>
      <c r="J43" s="74"/>
      <c r="K43" s="74"/>
      <c r="L43" s="74"/>
      <c r="M43" s="74"/>
      <c r="N43" s="74"/>
      <c r="O43" s="74"/>
      <c r="P43" s="74"/>
    </row>
    <row r="44" spans="1:16" ht="20.25" x14ac:dyDescent="0.2">
      <c r="A44" s="76"/>
      <c r="B44" s="76"/>
      <c r="C44" s="82"/>
      <c r="D44" s="82"/>
      <c r="E44" s="82"/>
      <c r="F44" s="74"/>
      <c r="G44" s="74"/>
      <c r="H44" s="74"/>
      <c r="I44" s="74"/>
      <c r="J44" s="74"/>
      <c r="K44" s="74"/>
      <c r="L44" s="74"/>
      <c r="M44" s="74"/>
      <c r="N44" s="74"/>
      <c r="O44" s="74"/>
      <c r="P44" s="74"/>
    </row>
    <row r="45" spans="1:16" ht="20.25" x14ac:dyDescent="0.2">
      <c r="A45" s="76"/>
      <c r="B45" s="76"/>
      <c r="C45" s="82"/>
      <c r="D45" s="82"/>
      <c r="E45" s="82"/>
      <c r="F45" s="74"/>
      <c r="G45" s="74"/>
      <c r="H45" s="74"/>
      <c r="I45" s="74"/>
      <c r="J45" s="74"/>
      <c r="K45" s="74"/>
      <c r="L45" s="74"/>
      <c r="M45" s="74"/>
      <c r="N45" s="74"/>
      <c r="O45" s="74"/>
      <c r="P45" s="74"/>
    </row>
    <row r="46" spans="1:16" ht="20.25" x14ac:dyDescent="0.2">
      <c r="A46" s="76"/>
      <c r="B46" s="76"/>
      <c r="C46" s="82"/>
      <c r="D46" s="82"/>
      <c r="E46" s="82"/>
      <c r="F46" s="74"/>
      <c r="G46" s="74"/>
      <c r="H46" s="74"/>
      <c r="I46" s="74"/>
      <c r="J46" s="74"/>
      <c r="K46" s="74"/>
      <c r="L46" s="74"/>
      <c r="M46" s="74"/>
      <c r="N46" s="74"/>
      <c r="O46" s="74"/>
      <c r="P46" s="74"/>
    </row>
    <row r="47" spans="1:16" ht="20.25" x14ac:dyDescent="0.2">
      <c r="A47" s="76"/>
      <c r="B47" s="76"/>
      <c r="C47" s="82"/>
      <c r="D47" s="82"/>
      <c r="E47" s="82"/>
      <c r="F47" s="74"/>
      <c r="G47" s="74"/>
      <c r="H47" s="74"/>
      <c r="I47" s="74"/>
      <c r="J47" s="74"/>
      <c r="K47" s="74"/>
      <c r="L47" s="74"/>
      <c r="M47" s="74"/>
      <c r="N47" s="74"/>
      <c r="O47" s="74"/>
      <c r="P47" s="74"/>
    </row>
    <row r="48" spans="1:16" ht="20.25" x14ac:dyDescent="0.2">
      <c r="A48" s="76"/>
      <c r="B48" s="76"/>
      <c r="C48" s="82"/>
      <c r="D48" s="82"/>
      <c r="E48" s="82"/>
      <c r="F48" s="74"/>
      <c r="G48" s="74"/>
      <c r="H48" s="74"/>
      <c r="I48" s="74"/>
      <c r="J48" s="74"/>
      <c r="K48" s="74"/>
      <c r="L48" s="74"/>
      <c r="M48" s="74"/>
      <c r="N48" s="74"/>
      <c r="O48" s="74"/>
      <c r="P48" s="74"/>
    </row>
    <row r="49" spans="1:16" ht="20.25" x14ac:dyDescent="0.2">
      <c r="A49" s="76"/>
      <c r="B49" s="76"/>
      <c r="C49" s="82"/>
      <c r="D49" s="82"/>
      <c r="E49" s="82"/>
      <c r="F49" s="74"/>
      <c r="G49" s="74"/>
      <c r="H49" s="74"/>
      <c r="I49" s="74"/>
      <c r="J49" s="74"/>
      <c r="K49" s="74"/>
      <c r="L49" s="74"/>
      <c r="M49" s="74"/>
      <c r="N49" s="74"/>
      <c r="O49" s="74"/>
      <c r="P49" s="74"/>
    </row>
    <row r="50" spans="1:16" ht="20.25" x14ac:dyDescent="0.2">
      <c r="A50" s="76"/>
      <c r="B50" s="76"/>
      <c r="C50" s="82"/>
      <c r="D50" s="82"/>
      <c r="E50" s="82"/>
      <c r="F50" s="74"/>
      <c r="G50" s="74"/>
      <c r="H50" s="74"/>
      <c r="I50" s="74"/>
      <c r="J50" s="74"/>
      <c r="K50" s="74"/>
      <c r="L50" s="74"/>
      <c r="M50" s="74"/>
      <c r="N50" s="74"/>
      <c r="O50" s="74"/>
      <c r="P50" s="74"/>
    </row>
    <row r="51" spans="1:16" ht="20.25" x14ac:dyDescent="0.2">
      <c r="A51" s="76"/>
      <c r="B51" s="76"/>
      <c r="C51" s="82"/>
      <c r="D51" s="82"/>
      <c r="E51" s="82"/>
      <c r="F51" s="74"/>
      <c r="G51" s="74"/>
      <c r="H51" s="74"/>
      <c r="I51" s="74"/>
      <c r="J51" s="74"/>
      <c r="K51" s="74"/>
      <c r="L51" s="74"/>
      <c r="M51" s="74"/>
      <c r="N51" s="74"/>
      <c r="O51" s="74"/>
      <c r="P51" s="74"/>
    </row>
    <row r="52" spans="1:16" ht="20.25" x14ac:dyDescent="0.2">
      <c r="A52" s="76"/>
      <c r="B52" s="76"/>
      <c r="C52" s="82"/>
      <c r="D52" s="82"/>
      <c r="E52" s="82"/>
      <c r="F52" s="74"/>
      <c r="G52" s="74"/>
      <c r="H52" s="74"/>
      <c r="I52" s="74"/>
      <c r="J52" s="74"/>
      <c r="K52" s="74"/>
      <c r="L52" s="74"/>
      <c r="M52" s="74"/>
      <c r="N52" s="74"/>
      <c r="O52" s="74"/>
      <c r="P52" s="74"/>
    </row>
    <row r="53" spans="1:16" ht="20.25" x14ac:dyDescent="0.2">
      <c r="A53" s="76"/>
      <c r="B53" s="76"/>
      <c r="C53" s="82"/>
      <c r="D53" s="82"/>
      <c r="E53" s="82"/>
      <c r="F53" s="74"/>
      <c r="G53" s="74"/>
      <c r="H53" s="74"/>
      <c r="I53" s="74"/>
      <c r="J53" s="74"/>
      <c r="K53" s="74"/>
      <c r="L53" s="74"/>
      <c r="M53" s="74"/>
      <c r="N53" s="74"/>
      <c r="O53" s="74"/>
      <c r="P53" s="74"/>
    </row>
    <row r="54" spans="1:16" ht="20.25" x14ac:dyDescent="0.2">
      <c r="A54" s="76"/>
      <c r="B54" s="76"/>
      <c r="C54" s="82"/>
      <c r="D54" s="82"/>
      <c r="E54" s="82"/>
      <c r="F54" s="74"/>
      <c r="G54" s="74"/>
      <c r="H54" s="74"/>
      <c r="I54" s="74"/>
      <c r="J54" s="74"/>
      <c r="K54" s="74"/>
      <c r="L54" s="74"/>
      <c r="M54" s="74"/>
      <c r="N54" s="74"/>
      <c r="O54" s="74"/>
      <c r="P54" s="74"/>
    </row>
    <row r="55" spans="1:16" ht="20.25" x14ac:dyDescent="0.2">
      <c r="A55" s="76"/>
      <c r="B55" s="76"/>
      <c r="C55" s="82"/>
      <c r="D55" s="82"/>
      <c r="E55" s="82"/>
      <c r="F55" s="74"/>
      <c r="G55" s="74"/>
      <c r="H55" s="74"/>
      <c r="I55" s="74"/>
      <c r="J55" s="74"/>
      <c r="K55" s="74"/>
      <c r="L55" s="74"/>
      <c r="M55" s="74"/>
      <c r="N55" s="74"/>
      <c r="O55" s="74"/>
      <c r="P55" s="74"/>
    </row>
    <row r="56" spans="1:16" ht="20.25" x14ac:dyDescent="0.2">
      <c r="A56" s="76"/>
      <c r="B56" s="85"/>
      <c r="C56" s="86"/>
      <c r="D56" s="86"/>
      <c r="E56" s="86"/>
    </row>
    <row r="57" spans="1:16" ht="20.25" x14ac:dyDescent="0.2">
      <c r="A57" s="76"/>
      <c r="B57" s="85"/>
      <c r="C57" s="86"/>
      <c r="D57" s="86"/>
      <c r="E57" s="86"/>
    </row>
    <row r="58" spans="1:16" ht="20.25" x14ac:dyDescent="0.2">
      <c r="A58" s="76"/>
      <c r="B58" s="85"/>
      <c r="C58" s="86"/>
      <c r="D58" s="86"/>
      <c r="E58" s="86"/>
    </row>
    <row r="59" spans="1:16" ht="20.25" x14ac:dyDescent="0.2">
      <c r="A59" s="76"/>
      <c r="B59" s="85"/>
      <c r="C59" s="86"/>
      <c r="D59" s="86"/>
      <c r="E59" s="86"/>
    </row>
    <row r="60" spans="1:16" ht="20.25" x14ac:dyDescent="0.2">
      <c r="A60" s="76"/>
      <c r="B60" s="85"/>
      <c r="C60" s="86"/>
      <c r="D60" s="86"/>
      <c r="E60" s="86"/>
    </row>
    <row r="61" spans="1:16" ht="20.25" x14ac:dyDescent="0.2">
      <c r="A61" s="76"/>
      <c r="B61" s="85"/>
      <c r="C61" s="86"/>
      <c r="D61" s="86"/>
      <c r="E61" s="86"/>
    </row>
    <row r="62" spans="1:16" ht="20.25" x14ac:dyDescent="0.2">
      <c r="A62" s="76"/>
      <c r="B62" s="85"/>
      <c r="C62" s="86"/>
      <c r="D62" s="86"/>
      <c r="E62" s="86"/>
    </row>
    <row r="63" spans="1:16" ht="20.25" x14ac:dyDescent="0.2">
      <c r="A63" s="76"/>
      <c r="B63" s="85"/>
      <c r="C63" s="86"/>
      <c r="D63" s="86"/>
      <c r="E63" s="86"/>
    </row>
    <row r="64" spans="1:16" ht="20.25" x14ac:dyDescent="0.2">
      <c r="A64" s="76"/>
      <c r="B64" s="85"/>
      <c r="C64" s="86"/>
      <c r="D64" s="86"/>
      <c r="E64" s="86"/>
    </row>
    <row r="65" spans="1:5" ht="20.25" x14ac:dyDescent="0.2">
      <c r="A65" s="76"/>
      <c r="B65" s="85"/>
      <c r="C65" s="86"/>
      <c r="D65" s="86"/>
      <c r="E65" s="86"/>
    </row>
    <row r="66" spans="1:5" ht="20.25" x14ac:dyDescent="0.2">
      <c r="A66" s="76"/>
      <c r="B66" s="85"/>
      <c r="C66" s="86"/>
      <c r="D66" s="86"/>
      <c r="E66" s="86"/>
    </row>
    <row r="67" spans="1:5" ht="20.25" x14ac:dyDescent="0.2">
      <c r="A67" s="76"/>
      <c r="B67" s="85"/>
      <c r="C67" s="86"/>
      <c r="D67" s="86"/>
      <c r="E67" s="86"/>
    </row>
    <row r="68" spans="1:5" ht="20.25" x14ac:dyDescent="0.2">
      <c r="A68" s="76"/>
      <c r="B68" s="85"/>
      <c r="C68" s="86"/>
      <c r="D68" s="86"/>
      <c r="E68" s="86"/>
    </row>
    <row r="69" spans="1:5" ht="20.25" x14ac:dyDescent="0.2">
      <c r="A69" s="76"/>
      <c r="B69" s="85"/>
      <c r="C69" s="86"/>
      <c r="D69" s="86"/>
      <c r="E69" s="86"/>
    </row>
    <row r="70" spans="1:5" ht="20.25" x14ac:dyDescent="0.2">
      <c r="A70" s="76"/>
      <c r="B70" s="85"/>
      <c r="C70" s="86"/>
      <c r="D70" s="86"/>
      <c r="E70" s="86"/>
    </row>
    <row r="71" spans="1:5" ht="20.25" x14ac:dyDescent="0.2">
      <c r="A71" s="76"/>
      <c r="B71" s="85"/>
      <c r="C71" s="86"/>
      <c r="D71" s="86"/>
      <c r="E71" s="86"/>
    </row>
    <row r="72" spans="1:5" ht="20.25" x14ac:dyDescent="0.2">
      <c r="A72" s="76"/>
      <c r="B72" s="85"/>
      <c r="C72" s="86"/>
      <c r="D72" s="86"/>
      <c r="E72" s="86"/>
    </row>
    <row r="73" spans="1:5" ht="20.25" x14ac:dyDescent="0.2">
      <c r="A73" s="76"/>
      <c r="B73" s="85"/>
      <c r="C73" s="86"/>
      <c r="D73" s="86"/>
      <c r="E73" s="86"/>
    </row>
    <row r="74" spans="1:5" ht="20.25" x14ac:dyDescent="0.2">
      <c r="A74" s="76"/>
      <c r="B74" s="85"/>
      <c r="C74" s="86"/>
      <c r="D74" s="86"/>
      <c r="E74" s="86"/>
    </row>
    <row r="75" spans="1:5" ht="20.25" x14ac:dyDescent="0.2">
      <c r="A75" s="76"/>
      <c r="B75" s="85"/>
      <c r="C75" s="86"/>
      <c r="D75" s="86"/>
      <c r="E75" s="86"/>
    </row>
    <row r="76" spans="1:5" ht="20.25" x14ac:dyDescent="0.2">
      <c r="A76" s="76"/>
      <c r="B76" s="85"/>
      <c r="C76" s="86"/>
      <c r="D76" s="86"/>
      <c r="E76" s="86"/>
    </row>
    <row r="77" spans="1:5" ht="20.25" x14ac:dyDescent="0.2">
      <c r="A77" s="76"/>
      <c r="B77" s="85"/>
      <c r="C77" s="86"/>
      <c r="D77" s="86"/>
      <c r="E77" s="86"/>
    </row>
    <row r="78" spans="1:5" ht="20.25" x14ac:dyDescent="0.2">
      <c r="A78" s="76"/>
      <c r="B78" s="85"/>
      <c r="C78" s="86"/>
      <c r="D78" s="86"/>
      <c r="E78" s="86"/>
    </row>
    <row r="79" spans="1:5" ht="20.25" x14ac:dyDescent="0.2">
      <c r="A79" s="76"/>
      <c r="B79" s="85"/>
      <c r="C79" s="86"/>
      <c r="D79" s="86"/>
      <c r="E79" s="86"/>
    </row>
    <row r="80" spans="1:5" ht="20.25" x14ac:dyDescent="0.2">
      <c r="A80" s="76"/>
      <c r="B80" s="85"/>
      <c r="C80" s="86"/>
      <c r="D80" s="86"/>
      <c r="E80" s="86"/>
    </row>
    <row r="81" spans="1:5" ht="20.25" x14ac:dyDescent="0.2">
      <c r="A81" s="76"/>
      <c r="B81" s="85"/>
      <c r="C81" s="86"/>
      <c r="D81" s="86"/>
      <c r="E81" s="86"/>
    </row>
    <row r="82" spans="1:5" ht="20.25" x14ac:dyDescent="0.2">
      <c r="A82" s="76"/>
      <c r="B82" s="85"/>
      <c r="C82" s="86"/>
      <c r="D82" s="86"/>
      <c r="E82" s="86"/>
    </row>
    <row r="83" spans="1:5" ht="20.25" x14ac:dyDescent="0.2">
      <c r="A83" s="76"/>
      <c r="B83" s="85"/>
      <c r="C83" s="86"/>
      <c r="D83" s="86"/>
      <c r="E83" s="86"/>
    </row>
    <row r="84" spans="1:5" ht="20.25" x14ac:dyDescent="0.2">
      <c r="A84" s="76"/>
      <c r="B84" s="85"/>
      <c r="C84" s="86"/>
      <c r="D84" s="86"/>
      <c r="E84" s="86"/>
    </row>
    <row r="85" spans="1:5" ht="20.25" x14ac:dyDescent="0.2">
      <c r="A85" s="76"/>
      <c r="B85" s="85"/>
      <c r="C85" s="86"/>
      <c r="D85" s="86"/>
      <c r="E85" s="86"/>
    </row>
    <row r="86" spans="1:5" ht="20.25" x14ac:dyDescent="0.2">
      <c r="A86" s="76"/>
      <c r="B86" s="85"/>
      <c r="C86" s="86"/>
      <c r="D86" s="86"/>
      <c r="E86" s="86"/>
    </row>
    <row r="87" spans="1:5" ht="20.25" x14ac:dyDescent="0.2">
      <c r="A87" s="76"/>
      <c r="B87" s="85"/>
      <c r="C87" s="86"/>
      <c r="D87" s="86"/>
      <c r="E87" s="86"/>
    </row>
    <row r="88" spans="1:5" ht="20.25" x14ac:dyDescent="0.2">
      <c r="A88" s="76"/>
      <c r="B88" s="85"/>
      <c r="C88" s="86"/>
      <c r="D88" s="86"/>
      <c r="E88" s="86"/>
    </row>
    <row r="89" spans="1:5" ht="20.25" x14ac:dyDescent="0.2">
      <c r="A89" s="76"/>
      <c r="B89" s="85"/>
      <c r="C89" s="86"/>
      <c r="D89" s="86"/>
      <c r="E89" s="86"/>
    </row>
    <row r="90" spans="1:5" ht="20.25" x14ac:dyDescent="0.2">
      <c r="A90" s="76"/>
      <c r="B90" s="85"/>
      <c r="C90" s="86"/>
      <c r="D90" s="86"/>
      <c r="E90" s="86"/>
    </row>
    <row r="91" spans="1:5" ht="20.25" x14ac:dyDescent="0.2">
      <c r="A91" s="76"/>
      <c r="B91" s="85"/>
      <c r="C91" s="86"/>
      <c r="D91" s="86"/>
      <c r="E91" s="86"/>
    </row>
    <row r="92" spans="1:5" ht="20.25" x14ac:dyDescent="0.2">
      <c r="A92" s="76"/>
      <c r="B92" s="85"/>
      <c r="C92" s="86"/>
      <c r="D92" s="86"/>
      <c r="E92" s="86"/>
    </row>
    <row r="93" spans="1:5" ht="20.25" x14ac:dyDescent="0.2">
      <c r="A93" s="76"/>
      <c r="B93" s="85"/>
      <c r="C93" s="86"/>
      <c r="D93" s="86"/>
      <c r="E93" s="86"/>
    </row>
    <row r="94" spans="1:5" ht="20.25" x14ac:dyDescent="0.2">
      <c r="A94" s="76"/>
      <c r="B94" s="85"/>
      <c r="C94" s="86"/>
      <c r="D94" s="86"/>
      <c r="E94" s="86"/>
    </row>
    <row r="95" spans="1:5" ht="20.25" x14ac:dyDescent="0.2">
      <c r="A95" s="76"/>
      <c r="B95" s="85"/>
      <c r="C95" s="86"/>
      <c r="D95" s="86"/>
      <c r="E95" s="86"/>
    </row>
    <row r="96" spans="1:5" ht="20.25" x14ac:dyDescent="0.2">
      <c r="A96" s="76"/>
      <c r="B96" s="85"/>
      <c r="C96" s="86"/>
      <c r="D96" s="86"/>
      <c r="E96" s="86"/>
    </row>
    <row r="97" spans="1:5" ht="20.25" x14ac:dyDescent="0.2">
      <c r="A97" s="76"/>
      <c r="B97" s="85"/>
      <c r="C97" s="86"/>
      <c r="D97" s="86"/>
      <c r="E97" s="86"/>
    </row>
    <row r="98" spans="1:5" ht="20.25" x14ac:dyDescent="0.2">
      <c r="A98" s="76"/>
      <c r="B98" s="85"/>
      <c r="C98" s="86"/>
      <c r="D98" s="86"/>
      <c r="E98" s="86"/>
    </row>
    <row r="99" spans="1:5" ht="20.25" x14ac:dyDescent="0.2">
      <c r="A99" s="76"/>
      <c r="B99" s="85"/>
      <c r="C99" s="86"/>
      <c r="D99" s="86"/>
      <c r="E99" s="86"/>
    </row>
    <row r="100" spans="1:5" ht="20.25" x14ac:dyDescent="0.2">
      <c r="A100" s="76"/>
      <c r="B100" s="85"/>
      <c r="C100" s="86"/>
      <c r="D100" s="86"/>
      <c r="E100" s="86"/>
    </row>
    <row r="101" spans="1:5" ht="20.25" x14ac:dyDescent="0.2">
      <c r="A101" s="76"/>
      <c r="B101" s="85"/>
      <c r="C101" s="86"/>
      <c r="D101" s="86"/>
      <c r="E101" s="86"/>
    </row>
    <row r="102" spans="1:5" ht="20.25" x14ac:dyDescent="0.2">
      <c r="A102" s="76"/>
      <c r="B102" s="85"/>
      <c r="C102" s="86"/>
      <c r="D102" s="86"/>
      <c r="E102" s="86"/>
    </row>
    <row r="103" spans="1:5" ht="20.25" x14ac:dyDescent="0.2">
      <c r="A103" s="76"/>
      <c r="B103" s="85"/>
      <c r="C103" s="86"/>
      <c r="D103" s="86"/>
      <c r="E103" s="86"/>
    </row>
    <row r="104" spans="1:5" ht="20.25" x14ac:dyDescent="0.2">
      <c r="A104" s="76"/>
      <c r="B104" s="85"/>
      <c r="C104" s="86"/>
      <c r="D104" s="86"/>
      <c r="E104" s="86"/>
    </row>
    <row r="105" spans="1:5" ht="20.25" x14ac:dyDescent="0.2">
      <c r="A105" s="76"/>
      <c r="B105" s="85"/>
      <c r="C105" s="86"/>
      <c r="D105" s="86"/>
      <c r="E105" s="86"/>
    </row>
    <row r="106" spans="1:5" ht="20.25" x14ac:dyDescent="0.2">
      <c r="A106" s="76"/>
      <c r="B106" s="85"/>
      <c r="C106" s="86"/>
      <c r="D106" s="86"/>
      <c r="E106" s="86"/>
    </row>
    <row r="107" spans="1:5" ht="20.25" x14ac:dyDescent="0.2">
      <c r="A107" s="76"/>
      <c r="B107" s="85"/>
      <c r="C107" s="86"/>
      <c r="D107" s="86"/>
      <c r="E107" s="86"/>
    </row>
    <row r="108" spans="1:5" ht="20.25" x14ac:dyDescent="0.2">
      <c r="A108" s="76"/>
      <c r="B108" s="85"/>
      <c r="C108" s="86"/>
      <c r="D108" s="86"/>
      <c r="E108" s="86"/>
    </row>
    <row r="109" spans="1:5" ht="20.25" x14ac:dyDescent="0.2">
      <c r="A109" s="76"/>
      <c r="B109" s="85"/>
      <c r="C109" s="86"/>
      <c r="D109" s="86"/>
      <c r="E109" s="86"/>
    </row>
    <row r="110" spans="1:5" ht="20.25" x14ac:dyDescent="0.2">
      <c r="A110" s="76"/>
      <c r="B110" s="85"/>
      <c r="C110" s="86"/>
      <c r="D110" s="86"/>
      <c r="E110" s="86"/>
    </row>
    <row r="111" spans="1:5" ht="20.25" x14ac:dyDescent="0.2">
      <c r="A111" s="76"/>
      <c r="B111" s="85"/>
      <c r="C111" s="86"/>
      <c r="D111" s="86"/>
      <c r="E111" s="86"/>
    </row>
    <row r="112" spans="1:5" ht="20.25" x14ac:dyDescent="0.2">
      <c r="A112" s="76"/>
      <c r="B112" s="85"/>
      <c r="C112" s="86"/>
      <c r="D112" s="86"/>
      <c r="E112" s="86"/>
    </row>
    <row r="113" spans="1:5" ht="20.25" x14ac:dyDescent="0.2">
      <c r="A113" s="76"/>
      <c r="B113" s="85"/>
      <c r="C113" s="86"/>
      <c r="D113" s="86"/>
      <c r="E113" s="86"/>
    </row>
    <row r="114" spans="1:5" ht="20.25" x14ac:dyDescent="0.2">
      <c r="A114" s="76"/>
      <c r="B114" s="85"/>
      <c r="C114" s="86"/>
      <c r="D114" s="86"/>
      <c r="E114" s="86"/>
    </row>
    <row r="115" spans="1:5" ht="20.25" x14ac:dyDescent="0.2">
      <c r="A115" s="76"/>
      <c r="B115" s="85"/>
      <c r="C115" s="86"/>
      <c r="D115" s="86"/>
      <c r="E115" s="86"/>
    </row>
    <row r="116" spans="1:5" ht="20.25" x14ac:dyDescent="0.2">
      <c r="A116" s="76"/>
      <c r="B116" s="85"/>
      <c r="C116" s="86"/>
      <c r="D116" s="86"/>
      <c r="E116" s="86"/>
    </row>
    <row r="117" spans="1:5" ht="20.25" x14ac:dyDescent="0.2">
      <c r="A117" s="76"/>
      <c r="B117" s="85"/>
      <c r="C117" s="86"/>
      <c r="D117" s="86"/>
      <c r="E117" s="86"/>
    </row>
    <row r="118" spans="1:5" ht="20.25" x14ac:dyDescent="0.2">
      <c r="A118" s="76"/>
      <c r="B118" s="85"/>
      <c r="C118" s="86"/>
      <c r="D118" s="86"/>
      <c r="E118" s="86"/>
    </row>
    <row r="119" spans="1:5" ht="20.25" x14ac:dyDescent="0.2">
      <c r="A119" s="76"/>
      <c r="B119" s="85"/>
      <c r="C119" s="86"/>
      <c r="D119" s="86"/>
      <c r="E119" s="86"/>
    </row>
    <row r="120" spans="1:5" ht="20.25" x14ac:dyDescent="0.2">
      <c r="A120" s="76"/>
      <c r="B120" s="85"/>
      <c r="C120" s="86"/>
      <c r="D120" s="86"/>
      <c r="E120" s="86"/>
    </row>
    <row r="121" spans="1:5" ht="20.25" x14ac:dyDescent="0.2">
      <c r="A121" s="76"/>
      <c r="B121" s="85"/>
      <c r="C121" s="86"/>
      <c r="D121" s="86"/>
      <c r="E121" s="86"/>
    </row>
    <row r="122" spans="1:5" ht="20.25" x14ac:dyDescent="0.2">
      <c r="A122" s="76"/>
      <c r="B122" s="85"/>
      <c r="C122" s="86"/>
      <c r="D122" s="86"/>
      <c r="E122" s="86"/>
    </row>
    <row r="123" spans="1:5" ht="20.25" x14ac:dyDescent="0.2">
      <c r="A123" s="76"/>
      <c r="B123" s="85"/>
      <c r="C123" s="86"/>
      <c r="D123" s="86"/>
      <c r="E123" s="86"/>
    </row>
    <row r="124" spans="1:5" ht="20.25" x14ac:dyDescent="0.2">
      <c r="A124" s="76"/>
      <c r="B124" s="85"/>
      <c r="C124" s="86"/>
      <c r="D124" s="86"/>
      <c r="E124" s="86"/>
    </row>
    <row r="125" spans="1:5" ht="20.25" x14ac:dyDescent="0.2">
      <c r="A125" s="76"/>
      <c r="B125" s="85"/>
      <c r="C125" s="86"/>
      <c r="D125" s="86"/>
      <c r="E125" s="86"/>
    </row>
    <row r="126" spans="1:5" ht="20.25" x14ac:dyDescent="0.2">
      <c r="A126" s="76"/>
      <c r="B126" s="85"/>
      <c r="C126" s="86"/>
      <c r="D126" s="86"/>
      <c r="E126" s="86"/>
    </row>
    <row r="127" spans="1:5" ht="20.25" x14ac:dyDescent="0.2">
      <c r="A127" s="76"/>
      <c r="B127" s="85"/>
      <c r="C127" s="86"/>
      <c r="D127" s="86"/>
      <c r="E127" s="86"/>
    </row>
    <row r="128" spans="1:5" ht="20.25" x14ac:dyDescent="0.2">
      <c r="A128" s="76"/>
      <c r="B128" s="85"/>
      <c r="C128" s="86"/>
      <c r="D128" s="86"/>
      <c r="E128" s="86"/>
    </row>
    <row r="129" spans="1:5" ht="20.25" x14ac:dyDescent="0.2">
      <c r="A129" s="76"/>
      <c r="B129" s="85"/>
      <c r="C129" s="86"/>
      <c r="D129" s="86"/>
      <c r="E129" s="86"/>
    </row>
    <row r="130" spans="1:5" ht="20.25" x14ac:dyDescent="0.2">
      <c r="A130" s="76"/>
      <c r="B130" s="85"/>
      <c r="C130" s="86"/>
      <c r="D130" s="86"/>
      <c r="E130" s="86"/>
    </row>
    <row r="131" spans="1:5" ht="20.25" x14ac:dyDescent="0.2">
      <c r="A131" s="76"/>
      <c r="B131" s="85"/>
      <c r="C131" s="86"/>
      <c r="D131" s="86"/>
      <c r="E131" s="86"/>
    </row>
    <row r="132" spans="1:5" ht="20.25" x14ac:dyDescent="0.2">
      <c r="A132" s="76"/>
      <c r="B132" s="85"/>
      <c r="C132" s="86"/>
      <c r="D132" s="86"/>
      <c r="E132" s="86"/>
    </row>
    <row r="133" spans="1:5" ht="20.25" x14ac:dyDescent="0.2">
      <c r="A133" s="76"/>
      <c r="B133" s="85"/>
      <c r="C133" s="86"/>
      <c r="D133" s="86"/>
      <c r="E133" s="86"/>
    </row>
    <row r="134" spans="1:5" ht="20.25" x14ac:dyDescent="0.2">
      <c r="A134" s="76"/>
      <c r="B134" s="85"/>
      <c r="C134" s="86"/>
      <c r="D134" s="86"/>
      <c r="E134" s="86"/>
    </row>
    <row r="135" spans="1:5" ht="20.25" x14ac:dyDescent="0.2">
      <c r="A135" s="76"/>
      <c r="B135" s="85"/>
      <c r="C135" s="86"/>
      <c r="D135" s="86"/>
      <c r="E135" s="86"/>
    </row>
    <row r="136" spans="1:5" ht="20.25" x14ac:dyDescent="0.2">
      <c r="A136" s="76"/>
      <c r="B136" s="85"/>
      <c r="C136" s="86"/>
      <c r="D136" s="86"/>
      <c r="E136" s="86"/>
    </row>
    <row r="137" spans="1:5" ht="20.25" x14ac:dyDescent="0.2">
      <c r="A137" s="76"/>
      <c r="B137" s="85"/>
      <c r="C137" s="86"/>
      <c r="D137" s="86"/>
      <c r="E137" s="86"/>
    </row>
    <row r="138" spans="1:5" ht="20.25" x14ac:dyDescent="0.2">
      <c r="A138" s="76"/>
      <c r="B138" s="85"/>
      <c r="C138" s="86"/>
      <c r="D138" s="86"/>
      <c r="E138" s="86"/>
    </row>
    <row r="139" spans="1:5" ht="20.25" x14ac:dyDescent="0.2">
      <c r="A139" s="76"/>
      <c r="B139" s="85"/>
      <c r="C139" s="86"/>
      <c r="D139" s="86"/>
      <c r="E139" s="86"/>
    </row>
    <row r="140" spans="1:5" ht="20.25" x14ac:dyDescent="0.2">
      <c r="A140" s="76"/>
      <c r="B140" s="85"/>
      <c r="C140" s="86"/>
      <c r="D140" s="86"/>
      <c r="E140" s="86"/>
    </row>
    <row r="141" spans="1:5" ht="20.25" x14ac:dyDescent="0.2">
      <c r="A141" s="76"/>
      <c r="B141" s="85"/>
      <c r="C141" s="86"/>
      <c r="D141" s="86"/>
      <c r="E141" s="86"/>
    </row>
    <row r="142" spans="1:5" ht="20.25" x14ac:dyDescent="0.2">
      <c r="A142" s="76"/>
      <c r="B142" s="85"/>
      <c r="C142" s="86"/>
      <c r="D142" s="86"/>
      <c r="E142" s="86"/>
    </row>
    <row r="143" spans="1:5" ht="20.25" x14ac:dyDescent="0.2">
      <c r="A143" s="76"/>
      <c r="B143" s="85"/>
      <c r="C143" s="86"/>
      <c r="D143" s="86"/>
      <c r="E143" s="86"/>
    </row>
    <row r="144" spans="1:5" ht="20.25" x14ac:dyDescent="0.2">
      <c r="A144" s="76"/>
      <c r="B144" s="85"/>
      <c r="C144" s="86"/>
      <c r="D144" s="86"/>
      <c r="E144" s="86"/>
    </row>
    <row r="145" spans="1:5" ht="20.25" x14ac:dyDescent="0.2">
      <c r="A145" s="76"/>
      <c r="B145" s="85"/>
      <c r="C145" s="86"/>
      <c r="D145" s="86"/>
      <c r="E145" s="86"/>
    </row>
    <row r="146" spans="1:5" ht="20.25" x14ac:dyDescent="0.2">
      <c r="A146" s="76"/>
      <c r="B146" s="85"/>
      <c r="C146" s="86"/>
      <c r="D146" s="86"/>
      <c r="E146" s="86"/>
    </row>
    <row r="147" spans="1:5" ht="20.25" x14ac:dyDescent="0.2">
      <c r="A147" s="76"/>
      <c r="B147" s="85"/>
      <c r="C147" s="86"/>
      <c r="D147" s="86"/>
      <c r="E147" s="86"/>
    </row>
    <row r="148" spans="1:5" ht="20.25" x14ac:dyDescent="0.2">
      <c r="A148" s="76"/>
      <c r="B148" s="85"/>
      <c r="C148" s="86"/>
      <c r="D148" s="86"/>
      <c r="E148" s="86"/>
    </row>
    <row r="149" spans="1:5" ht="20.25" x14ac:dyDescent="0.2">
      <c r="A149" s="76"/>
      <c r="B149" s="85"/>
      <c r="C149" s="86"/>
      <c r="D149" s="86"/>
      <c r="E149" s="86"/>
    </row>
    <row r="150" spans="1:5" ht="20.25" x14ac:dyDescent="0.2">
      <c r="A150" s="76"/>
      <c r="B150" s="85"/>
      <c r="C150" s="86"/>
      <c r="D150" s="86"/>
      <c r="E150" s="86"/>
    </row>
    <row r="151" spans="1:5" ht="20.25" x14ac:dyDescent="0.2">
      <c r="A151" s="76"/>
      <c r="B151" s="85"/>
      <c r="C151" s="86"/>
      <c r="D151" s="86"/>
      <c r="E151" s="86"/>
    </row>
    <row r="152" spans="1:5" ht="20.25" x14ac:dyDescent="0.2">
      <c r="A152" s="76"/>
      <c r="B152" s="85"/>
      <c r="C152" s="86"/>
      <c r="D152" s="86"/>
      <c r="E152" s="86"/>
    </row>
    <row r="153" spans="1:5" ht="20.25" x14ac:dyDescent="0.2">
      <c r="A153" s="76"/>
      <c r="B153" s="85"/>
      <c r="C153" s="86"/>
      <c r="D153" s="86"/>
      <c r="E153" s="86"/>
    </row>
    <row r="154" spans="1:5" ht="20.25" x14ac:dyDescent="0.2">
      <c r="A154" s="76"/>
      <c r="B154" s="85"/>
      <c r="C154" s="86"/>
      <c r="D154" s="86"/>
      <c r="E154" s="86"/>
    </row>
    <row r="155" spans="1:5" ht="20.25" x14ac:dyDescent="0.2">
      <c r="A155" s="76"/>
      <c r="B155" s="85"/>
      <c r="C155" s="86"/>
      <c r="D155" s="86"/>
      <c r="E155" s="86"/>
    </row>
    <row r="156" spans="1:5" ht="20.25" x14ac:dyDescent="0.2">
      <c r="A156" s="76"/>
      <c r="B156" s="85"/>
      <c r="C156" s="86"/>
      <c r="D156" s="86"/>
      <c r="E156" s="86"/>
    </row>
    <row r="157" spans="1:5" ht="20.25" x14ac:dyDescent="0.2">
      <c r="A157" s="76"/>
      <c r="B157" s="85"/>
      <c r="C157" s="86"/>
      <c r="D157" s="86"/>
      <c r="E157" s="86"/>
    </row>
    <row r="158" spans="1:5" ht="20.25" x14ac:dyDescent="0.2">
      <c r="A158" s="76"/>
      <c r="B158" s="85"/>
      <c r="C158" s="86"/>
      <c r="D158" s="86"/>
      <c r="E158" s="86"/>
    </row>
    <row r="159" spans="1:5" ht="20.25" x14ac:dyDescent="0.2">
      <c r="A159" s="76"/>
      <c r="B159" s="85"/>
      <c r="C159" s="86"/>
      <c r="D159" s="86"/>
      <c r="E159" s="86"/>
    </row>
    <row r="160" spans="1:5" ht="20.25" x14ac:dyDescent="0.2">
      <c r="A160" s="76"/>
      <c r="B160" s="85"/>
      <c r="C160" s="86"/>
      <c r="D160" s="86"/>
      <c r="E160" s="86"/>
    </row>
    <row r="161" spans="1:5" ht="20.25" x14ac:dyDescent="0.2">
      <c r="A161" s="76"/>
      <c r="B161" s="85"/>
      <c r="C161" s="86"/>
      <c r="D161" s="86"/>
      <c r="E161" s="86"/>
    </row>
    <row r="162" spans="1:5" ht="20.25" x14ac:dyDescent="0.2">
      <c r="A162" s="76"/>
      <c r="B162" s="85"/>
      <c r="C162" s="86"/>
      <c r="D162" s="86"/>
      <c r="E162" s="86"/>
    </row>
    <row r="163" spans="1:5" ht="20.25" x14ac:dyDescent="0.2">
      <c r="A163" s="76"/>
      <c r="B163" s="85"/>
      <c r="C163" s="86"/>
      <c r="D163" s="86"/>
      <c r="E163" s="86"/>
    </row>
    <row r="164" spans="1:5" ht="20.25" x14ac:dyDescent="0.2">
      <c r="A164" s="76"/>
      <c r="B164" s="85"/>
      <c r="C164" s="86"/>
      <c r="D164" s="86"/>
      <c r="E164" s="86"/>
    </row>
    <row r="165" spans="1:5" ht="20.25" x14ac:dyDescent="0.2">
      <c r="A165" s="76"/>
      <c r="B165" s="85"/>
      <c r="C165" s="86"/>
      <c r="D165" s="86"/>
      <c r="E165" s="86"/>
    </row>
    <row r="166" spans="1:5" ht="20.25" x14ac:dyDescent="0.2">
      <c r="A166" s="76"/>
      <c r="B166" s="85"/>
      <c r="C166" s="86"/>
      <c r="D166" s="86"/>
      <c r="E166" s="86"/>
    </row>
    <row r="167" spans="1:5" ht="20.25" x14ac:dyDescent="0.2">
      <c r="A167" s="76"/>
      <c r="B167" s="85"/>
      <c r="C167" s="86"/>
      <c r="D167" s="86"/>
      <c r="E167" s="86"/>
    </row>
    <row r="168" spans="1:5" ht="20.25" x14ac:dyDescent="0.2">
      <c r="A168" s="76"/>
      <c r="B168" s="85"/>
      <c r="C168" s="86"/>
      <c r="D168" s="86"/>
      <c r="E168" s="86"/>
    </row>
    <row r="169" spans="1:5" ht="20.25" x14ac:dyDescent="0.2">
      <c r="A169" s="76"/>
      <c r="B169" s="85"/>
      <c r="C169" s="86"/>
      <c r="D169" s="86"/>
      <c r="E169" s="86"/>
    </row>
    <row r="170" spans="1:5" ht="20.25" x14ac:dyDescent="0.2">
      <c r="A170" s="76"/>
      <c r="B170" s="85"/>
      <c r="C170" s="86"/>
      <c r="D170" s="86"/>
      <c r="E170" s="86"/>
    </row>
    <row r="171" spans="1:5" ht="20.25" x14ac:dyDescent="0.2">
      <c r="A171" s="76"/>
      <c r="B171" s="85"/>
      <c r="C171" s="86"/>
      <c r="D171" s="86"/>
      <c r="E171" s="86"/>
    </row>
    <row r="172" spans="1:5" ht="20.25" x14ac:dyDescent="0.2">
      <c r="A172" s="76"/>
      <c r="B172" s="85"/>
      <c r="C172" s="86"/>
      <c r="D172" s="86"/>
      <c r="E172" s="86"/>
    </row>
    <row r="173" spans="1:5" ht="20.25" x14ac:dyDescent="0.2">
      <c r="A173" s="76"/>
      <c r="B173" s="85"/>
      <c r="C173" s="86"/>
      <c r="D173" s="86"/>
      <c r="E173" s="86"/>
    </row>
    <row r="174" spans="1:5" ht="20.25" x14ac:dyDescent="0.2">
      <c r="A174" s="76"/>
      <c r="B174" s="85"/>
      <c r="C174" s="86"/>
      <c r="D174" s="86"/>
      <c r="E174" s="86"/>
    </row>
    <row r="175" spans="1:5" ht="20.25" x14ac:dyDescent="0.2">
      <c r="A175" s="76"/>
      <c r="B175" s="85"/>
      <c r="C175" s="86"/>
      <c r="D175" s="86"/>
      <c r="E175" s="86"/>
    </row>
    <row r="176" spans="1:5" ht="20.25" x14ac:dyDescent="0.2">
      <c r="A176" s="76"/>
      <c r="B176" s="85"/>
      <c r="C176" s="86"/>
      <c r="D176" s="86"/>
      <c r="E176" s="86"/>
    </row>
    <row r="177" spans="1:5" ht="20.25" x14ac:dyDescent="0.2">
      <c r="A177" s="76"/>
      <c r="B177" s="85"/>
      <c r="C177" s="86"/>
      <c r="D177" s="86"/>
      <c r="E177" s="86"/>
    </row>
    <row r="178" spans="1:5" ht="20.25" x14ac:dyDescent="0.2">
      <c r="A178" s="76"/>
      <c r="B178" s="85"/>
      <c r="C178" s="86"/>
      <c r="D178" s="86"/>
      <c r="E178" s="86"/>
    </row>
    <row r="179" spans="1:5" ht="20.25" x14ac:dyDescent="0.2">
      <c r="A179" s="76"/>
      <c r="B179" s="85"/>
      <c r="C179" s="86"/>
      <c r="D179" s="86"/>
      <c r="E179" s="86"/>
    </row>
    <row r="180" spans="1:5" ht="20.25" x14ac:dyDescent="0.2">
      <c r="A180" s="76"/>
      <c r="B180" s="85"/>
      <c r="C180" s="86"/>
      <c r="D180" s="86"/>
      <c r="E180" s="86"/>
    </row>
    <row r="181" spans="1:5" ht="20.25" x14ac:dyDescent="0.2">
      <c r="A181" s="76"/>
      <c r="B181" s="85"/>
      <c r="C181" s="86"/>
      <c r="D181" s="86"/>
      <c r="E181" s="86"/>
    </row>
    <row r="182" spans="1:5" ht="20.25" x14ac:dyDescent="0.2">
      <c r="A182" s="76"/>
      <c r="B182" s="85"/>
      <c r="C182" s="86"/>
      <c r="D182" s="86"/>
      <c r="E182" s="86"/>
    </row>
    <row r="183" spans="1:5" ht="20.25" x14ac:dyDescent="0.2">
      <c r="A183" s="76"/>
      <c r="B183" s="85"/>
      <c r="C183" s="86"/>
      <c r="D183" s="86"/>
      <c r="E183" s="86"/>
    </row>
    <row r="184" spans="1:5" ht="20.25" x14ac:dyDescent="0.2">
      <c r="A184" s="76"/>
      <c r="B184" s="85"/>
      <c r="C184" s="86"/>
      <c r="D184" s="86"/>
      <c r="E184" s="86"/>
    </row>
    <row r="185" spans="1:5" ht="20.25" x14ac:dyDescent="0.2">
      <c r="A185" s="76"/>
      <c r="B185" s="85"/>
      <c r="C185" s="86"/>
      <c r="D185" s="86"/>
      <c r="E185" s="86"/>
    </row>
    <row r="186" spans="1:5" ht="20.25" x14ac:dyDescent="0.2">
      <c r="A186" s="76"/>
      <c r="B186" s="85"/>
      <c r="C186" s="86"/>
      <c r="D186" s="86"/>
      <c r="E186" s="86"/>
    </row>
    <row r="187" spans="1:5" ht="20.25" x14ac:dyDescent="0.2">
      <c r="A187" s="76"/>
      <c r="B187" s="85"/>
      <c r="C187" s="86"/>
      <c r="D187" s="86"/>
      <c r="E187" s="86"/>
    </row>
    <row r="188" spans="1:5" ht="20.25" x14ac:dyDescent="0.2">
      <c r="A188" s="76"/>
      <c r="B188" s="85"/>
      <c r="C188" s="86"/>
      <c r="D188" s="86"/>
      <c r="E188" s="86"/>
    </row>
    <row r="189" spans="1:5" ht="20.25" x14ac:dyDescent="0.2">
      <c r="A189" s="76"/>
      <c r="B189" s="85"/>
      <c r="C189" s="86"/>
      <c r="D189" s="86"/>
      <c r="E189" s="86"/>
    </row>
    <row r="190" spans="1:5" ht="20.25" x14ac:dyDescent="0.2">
      <c r="A190" s="76"/>
      <c r="B190" s="85"/>
      <c r="C190" s="86"/>
      <c r="D190" s="86"/>
      <c r="E190" s="86"/>
    </row>
    <row r="191" spans="1:5" ht="20.25" x14ac:dyDescent="0.2">
      <c r="A191" s="76"/>
      <c r="B191" s="85"/>
      <c r="C191" s="86"/>
      <c r="D191" s="86"/>
      <c r="E191" s="86"/>
    </row>
    <row r="192" spans="1:5" ht="20.25" x14ac:dyDescent="0.2">
      <c r="A192" s="76"/>
      <c r="B192" s="85"/>
      <c r="C192" s="86"/>
      <c r="D192" s="86"/>
      <c r="E192" s="86"/>
    </row>
    <row r="193" spans="1:5" ht="20.25" x14ac:dyDescent="0.2">
      <c r="A193" s="76"/>
      <c r="B193" s="85"/>
      <c r="C193" s="86"/>
      <c r="D193" s="86"/>
      <c r="E193" s="86"/>
    </row>
    <row r="194" spans="1:5" ht="20.25" x14ac:dyDescent="0.2">
      <c r="A194" s="76"/>
      <c r="B194" s="85"/>
      <c r="C194" s="86"/>
      <c r="D194" s="86"/>
      <c r="E194" s="86"/>
    </row>
    <row r="195" spans="1:5" ht="20.25" x14ac:dyDescent="0.2">
      <c r="A195" s="76"/>
      <c r="B195" s="85"/>
      <c r="C195" s="86"/>
      <c r="D195" s="86"/>
      <c r="E195" s="86"/>
    </row>
    <row r="196" spans="1:5" ht="20.25" x14ac:dyDescent="0.2">
      <c r="A196" s="76"/>
      <c r="B196" s="85"/>
      <c r="C196" s="86"/>
      <c r="D196" s="86"/>
      <c r="E196" s="86"/>
    </row>
    <row r="197" spans="1:5" ht="20.25" x14ac:dyDescent="0.2">
      <c r="A197" s="76"/>
      <c r="B197" s="85"/>
      <c r="C197" s="86"/>
      <c r="D197" s="86"/>
      <c r="E197" s="86"/>
    </row>
    <row r="198" spans="1:5" ht="20.25" x14ac:dyDescent="0.2">
      <c r="A198" s="76"/>
      <c r="B198" s="85"/>
      <c r="C198" s="86"/>
      <c r="D198" s="86"/>
      <c r="E198" s="86"/>
    </row>
    <row r="199" spans="1:5" ht="20.25" x14ac:dyDescent="0.2">
      <c r="A199" s="76"/>
      <c r="B199" s="85"/>
      <c r="C199" s="86"/>
      <c r="D199" s="86"/>
      <c r="E199" s="86"/>
    </row>
    <row r="200" spans="1:5" ht="20.25" x14ac:dyDescent="0.2">
      <c r="A200" s="76"/>
      <c r="B200" s="85"/>
      <c r="C200" s="86"/>
      <c r="D200" s="86"/>
      <c r="E200" s="86"/>
    </row>
    <row r="201" spans="1:5" ht="20.25" x14ac:dyDescent="0.2">
      <c r="A201" s="76"/>
      <c r="B201" s="85"/>
      <c r="C201" s="86"/>
      <c r="D201" s="86"/>
      <c r="E201" s="86"/>
    </row>
    <row r="202" spans="1:5" ht="20.25" x14ac:dyDescent="0.2">
      <c r="A202" s="76"/>
      <c r="B202" s="85"/>
      <c r="C202" s="86"/>
      <c r="D202" s="86"/>
      <c r="E202" s="86"/>
    </row>
    <row r="203" spans="1:5" ht="20.25" x14ac:dyDescent="0.2">
      <c r="A203" s="76"/>
      <c r="B203" s="85"/>
      <c r="C203" s="86"/>
      <c r="D203" s="86"/>
      <c r="E203" s="86"/>
    </row>
    <row r="204" spans="1:5" ht="20.25" x14ac:dyDescent="0.2">
      <c r="A204" s="76"/>
      <c r="B204" s="85"/>
      <c r="C204" s="86"/>
      <c r="D204" s="86"/>
      <c r="E204" s="86"/>
    </row>
    <row r="205" spans="1:5" ht="20.25" x14ac:dyDescent="0.2">
      <c r="A205" s="76"/>
      <c r="B205" s="85"/>
      <c r="C205" s="86"/>
      <c r="D205" s="86"/>
      <c r="E205" s="86"/>
    </row>
    <row r="206" spans="1:5" ht="20.25" x14ac:dyDescent="0.2">
      <c r="A206" s="76"/>
      <c r="B206" s="85"/>
      <c r="C206" s="86"/>
      <c r="D206" s="86"/>
      <c r="E206" s="86"/>
    </row>
    <row r="207" spans="1:5" ht="20.25" x14ac:dyDescent="0.2">
      <c r="A207" s="76"/>
      <c r="B207" s="85"/>
      <c r="C207" s="86"/>
      <c r="D207" s="86"/>
      <c r="E207" s="86"/>
    </row>
    <row r="208" spans="1:5" ht="20.25" x14ac:dyDescent="0.2">
      <c r="A208" s="76"/>
      <c r="B208" s="85"/>
      <c r="C208" s="86"/>
      <c r="D208" s="86"/>
      <c r="E208" s="86"/>
    </row>
    <row r="209" spans="1:9" ht="20.25" x14ac:dyDescent="0.2">
      <c r="A209" s="76"/>
      <c r="B209" s="85"/>
      <c r="C209" s="86"/>
      <c r="D209" s="86"/>
      <c r="E209" s="86"/>
    </row>
    <row r="210" spans="1:9" ht="20.25" x14ac:dyDescent="0.2">
      <c r="A210" s="76"/>
      <c r="B210" s="85"/>
      <c r="C210" s="86"/>
      <c r="D210" s="86"/>
      <c r="E210" s="86"/>
    </row>
    <row r="211" spans="1:9" ht="20.25" x14ac:dyDescent="0.2">
      <c r="A211" s="76"/>
      <c r="B211" s="85"/>
      <c r="C211" s="86"/>
      <c r="D211" s="86"/>
      <c r="E211" s="86"/>
    </row>
    <row r="212" spans="1:9" x14ac:dyDescent="0.2">
      <c r="A212" s="74"/>
      <c r="B212" s="85"/>
      <c r="C212" s="85"/>
      <c r="D212" s="85"/>
      <c r="E212" s="85"/>
    </row>
    <row r="213" spans="1:9" ht="20.25" x14ac:dyDescent="0.2">
      <c r="A213" s="74"/>
      <c r="B213" s="87" t="s">
        <v>165</v>
      </c>
      <c r="C213" s="87" t="s">
        <v>166</v>
      </c>
      <c r="D213" s="87"/>
      <c r="E213" s="88" t="s">
        <v>165</v>
      </c>
      <c r="F213" s="88" t="s">
        <v>166</v>
      </c>
    </row>
    <row r="214" spans="1:9" ht="20.25" x14ac:dyDescent="0.3">
      <c r="A214" s="74"/>
      <c r="B214" s="89" t="s">
        <v>167</v>
      </c>
      <c r="C214" s="89" t="s">
        <v>168</v>
      </c>
      <c r="D214" s="89"/>
      <c r="E214" s="73" t="s">
        <v>167</v>
      </c>
      <c r="G214" s="73" t="str">
        <f>IF(NOT(ISBLANK(E214)),E214,IF(NOT(ISBLANK(F214)),"     "&amp;F214,FALSE))</f>
        <v>Afectación Económica o presupuestal</v>
      </c>
      <c r="H214" s="73" t="s">
        <v>167</v>
      </c>
      <c r="I214" s="73" t="str">
        <f>IF(NOT(ISERROR(MATCH(H214,_xlfn.ANCHORARRAY(B225),0))),G227&amp;"Por favor no seleccionar los criterios de impacto",H214)</f>
        <v>❌Por favor no seleccionar los criterios de impacto</v>
      </c>
    </row>
    <row r="215" spans="1:9" ht="20.25" x14ac:dyDescent="0.3">
      <c r="A215" s="74"/>
      <c r="B215" s="89" t="s">
        <v>167</v>
      </c>
      <c r="C215" s="89" t="s">
        <v>145</v>
      </c>
      <c r="D215" s="89"/>
      <c r="F215" s="73" t="s">
        <v>168</v>
      </c>
      <c r="G215" s="73" t="str">
        <f t="shared" ref="G215:G225" si="0">IF(NOT(ISBLANK(E215)),E215,IF(NOT(ISBLANK(F215)),"     "&amp;F215,FALSE))</f>
        <v xml:space="preserve">     Afectación menor a 10 SMLMV .</v>
      </c>
    </row>
    <row r="216" spans="1:9" ht="20.25" x14ac:dyDescent="0.3">
      <c r="A216" s="74"/>
      <c r="B216" s="89" t="s">
        <v>167</v>
      </c>
      <c r="C216" s="89" t="s">
        <v>147</v>
      </c>
      <c r="D216" s="89"/>
      <c r="F216" s="73" t="s">
        <v>145</v>
      </c>
      <c r="G216" s="73" t="str">
        <f t="shared" si="0"/>
        <v xml:space="preserve">     Entre 10 y 50 SMLMV </v>
      </c>
    </row>
    <row r="217" spans="1:9" ht="20.25" x14ac:dyDescent="0.3">
      <c r="A217" s="74"/>
      <c r="B217" s="89" t="s">
        <v>167</v>
      </c>
      <c r="C217" s="89" t="s">
        <v>150</v>
      </c>
      <c r="D217" s="89"/>
      <c r="F217" s="73" t="s">
        <v>147</v>
      </c>
      <c r="G217" s="73" t="str">
        <f t="shared" si="0"/>
        <v xml:space="preserve">     Entre 50 y 100 SMLMV </v>
      </c>
    </row>
    <row r="218" spans="1:9" ht="20.25" x14ac:dyDescent="0.3">
      <c r="A218" s="74"/>
      <c r="B218" s="89" t="s">
        <v>167</v>
      </c>
      <c r="C218" s="89" t="s">
        <v>153</v>
      </c>
      <c r="D218" s="89"/>
      <c r="F218" s="73" t="s">
        <v>150</v>
      </c>
      <c r="G218" s="73" t="str">
        <f t="shared" si="0"/>
        <v xml:space="preserve">     Entre 100 y 500 SMLMV </v>
      </c>
    </row>
    <row r="219" spans="1:9" ht="20.25" x14ac:dyDescent="0.3">
      <c r="A219" s="74"/>
      <c r="B219" s="89" t="s">
        <v>169</v>
      </c>
      <c r="C219" s="89" t="s">
        <v>170</v>
      </c>
      <c r="D219" s="89"/>
      <c r="F219" s="73" t="s">
        <v>153</v>
      </c>
      <c r="G219" s="73" t="str">
        <f t="shared" si="0"/>
        <v xml:space="preserve">     Mayor a 500 SMLMV </v>
      </c>
    </row>
    <row r="220" spans="1:9" ht="20.25" x14ac:dyDescent="0.3">
      <c r="A220" s="74"/>
      <c r="B220" s="89" t="s">
        <v>169</v>
      </c>
      <c r="C220" s="89" t="s">
        <v>171</v>
      </c>
      <c r="D220" s="89"/>
      <c r="E220" s="73" t="s">
        <v>169</v>
      </c>
      <c r="G220" s="73" t="str">
        <f t="shared" si="0"/>
        <v>Pérdida Reputacional</v>
      </c>
    </row>
    <row r="221" spans="1:9" ht="20.25" x14ac:dyDescent="0.3">
      <c r="A221" s="74"/>
      <c r="B221" s="89" t="s">
        <v>169</v>
      </c>
      <c r="C221" s="89" t="s">
        <v>172</v>
      </c>
      <c r="D221" s="89"/>
      <c r="F221" s="73" t="s">
        <v>170</v>
      </c>
      <c r="G221" s="73" t="str">
        <f t="shared" si="0"/>
        <v xml:space="preserve">     El riesgo afecta la imagen de alguna área de la organización</v>
      </c>
    </row>
    <row r="222" spans="1:9" ht="20.25" x14ac:dyDescent="0.3">
      <c r="A222" s="74"/>
      <c r="B222" s="89" t="s">
        <v>169</v>
      </c>
      <c r="C222" s="89" t="s">
        <v>173</v>
      </c>
      <c r="D222" s="89"/>
      <c r="F222" s="73" t="s">
        <v>171</v>
      </c>
      <c r="G222" s="73" t="str">
        <f t="shared" si="0"/>
        <v xml:space="preserve">     El riesgo afecta la imagen de la entidad internamente, de conocimiento general, nivel interno, de junta dircetiva y accionistas y/o de provedores</v>
      </c>
    </row>
    <row r="223" spans="1:9" ht="20.25" x14ac:dyDescent="0.3">
      <c r="A223" s="74"/>
      <c r="B223" s="89" t="s">
        <v>169</v>
      </c>
      <c r="C223" s="89" t="s">
        <v>174</v>
      </c>
      <c r="D223" s="89"/>
      <c r="F223" s="73" t="s">
        <v>172</v>
      </c>
      <c r="G223" s="73" t="str">
        <f t="shared" si="0"/>
        <v xml:space="preserve">     El riesgo afecta la imagen de la entidad con algunos usuarios de relevancia frente al logro de los objetivos</v>
      </c>
    </row>
    <row r="224" spans="1:9" x14ac:dyDescent="0.2">
      <c r="A224" s="74"/>
      <c r="B224" s="90"/>
      <c r="C224" s="90"/>
      <c r="D224" s="90"/>
      <c r="F224" s="73" t="s">
        <v>173</v>
      </c>
      <c r="G224" s="73" t="str">
        <f t="shared" si="0"/>
        <v xml:space="preserve">     El riesgo afecta la imagen de de la entidad con efecto publicitario sostenido a nivel de sector administrativo, nivel departamental o municipal</v>
      </c>
    </row>
    <row r="225" spans="1:7" x14ac:dyDescent="0.2">
      <c r="A225" s="74"/>
      <c r="B225" s="90" t="str" cm="1">
        <f t="array" ref="B225:B227">_xlfn.UNIQUE(Tabla1[[#All],[Criterios]])</f>
        <v>Criterios</v>
      </c>
      <c r="C225" s="90"/>
      <c r="D225" s="90"/>
      <c r="F225" s="73" t="s">
        <v>174</v>
      </c>
      <c r="G225" s="73" t="str">
        <f t="shared" si="0"/>
        <v xml:space="preserve">     El riesgo afecta la imagen de la entidad a nivel nacional, con efecto publicitarios sostenible a nivel país</v>
      </c>
    </row>
    <row r="226" spans="1:7" x14ac:dyDescent="0.2">
      <c r="A226" s="74"/>
      <c r="B226" s="90" t="str">
        <v>Afectación Económica o presupuestal</v>
      </c>
      <c r="C226" s="90"/>
      <c r="D226" s="90"/>
    </row>
    <row r="227" spans="1:7" x14ac:dyDescent="0.2">
      <c r="B227" s="90" t="str">
        <v>Pérdida Reputacional</v>
      </c>
      <c r="C227" s="90"/>
      <c r="D227" s="90"/>
      <c r="G227" s="3" t="s">
        <v>175</v>
      </c>
    </row>
    <row r="228" spans="1:7" x14ac:dyDescent="0.2">
      <c r="B228" s="91"/>
      <c r="C228" s="91"/>
      <c r="D228" s="91"/>
      <c r="G228" s="3" t="s">
        <v>176</v>
      </c>
    </row>
    <row r="229" spans="1:7" x14ac:dyDescent="0.2">
      <c r="B229" s="91"/>
      <c r="C229" s="91"/>
      <c r="D229" s="91"/>
    </row>
    <row r="230" spans="1:7" x14ac:dyDescent="0.2">
      <c r="B230" s="91"/>
      <c r="C230" s="91"/>
      <c r="D230" s="91"/>
    </row>
    <row r="231" spans="1:7" x14ac:dyDescent="0.2">
      <c r="B231" s="91"/>
      <c r="C231" s="91"/>
      <c r="D231" s="91"/>
      <c r="E231" s="91"/>
    </row>
    <row r="232" spans="1:7" x14ac:dyDescent="0.2">
      <c r="B232" s="91"/>
      <c r="C232" s="91"/>
      <c r="D232" s="91"/>
      <c r="E232" s="91"/>
    </row>
    <row r="233" spans="1:7" x14ac:dyDescent="0.2">
      <c r="B233" s="91"/>
      <c r="C233" s="91"/>
      <c r="D233" s="91"/>
      <c r="E233" s="91"/>
    </row>
    <row r="234" spans="1:7" x14ac:dyDescent="0.2">
      <c r="B234" s="91"/>
      <c r="C234" s="91"/>
      <c r="D234" s="91"/>
      <c r="E234" s="91"/>
    </row>
    <row r="235" spans="1:7" x14ac:dyDescent="0.2">
      <c r="B235" s="91"/>
      <c r="C235" s="91"/>
      <c r="D235" s="91"/>
      <c r="E235" s="91"/>
    </row>
    <row r="236" spans="1:7" x14ac:dyDescent="0.2">
      <c r="B236" s="91"/>
      <c r="C236" s="91"/>
      <c r="D236" s="91"/>
      <c r="E236" s="91"/>
    </row>
  </sheetData>
  <mergeCells count="4">
    <mergeCell ref="C7:E7"/>
    <mergeCell ref="B5:E5"/>
    <mergeCell ref="B1:B4"/>
    <mergeCell ref="C1:D4"/>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zoomScale="85" zoomScaleNormal="85" workbookViewId="0">
      <selection activeCell="H7" sqref="H7"/>
    </sheetView>
  </sheetViews>
  <sheetFormatPr baseColWidth="10" defaultColWidth="14.28515625" defaultRowHeight="12.75" x14ac:dyDescent="0.2"/>
  <cols>
    <col min="1" max="2" width="14.28515625" style="43"/>
    <col min="3" max="3" width="17" style="43" customWidth="1"/>
    <col min="4" max="4" width="14.28515625" style="43"/>
    <col min="5" max="5" width="46" style="43" customWidth="1"/>
    <col min="6" max="6" width="39" style="43" customWidth="1"/>
    <col min="7" max="16384" width="14.28515625" style="43"/>
  </cols>
  <sheetData>
    <row r="1" spans="2:6" ht="15" x14ac:dyDescent="0.2">
      <c r="B1" s="493"/>
      <c r="C1" s="196" t="s">
        <v>0</v>
      </c>
      <c r="D1" s="196"/>
      <c r="E1" s="196"/>
      <c r="F1" s="63"/>
    </row>
    <row r="2" spans="2:6" ht="15" x14ac:dyDescent="0.2">
      <c r="B2" s="493"/>
      <c r="C2" s="196"/>
      <c r="D2" s="196"/>
      <c r="E2" s="196"/>
      <c r="F2" s="63"/>
    </row>
    <row r="3" spans="2:6" ht="15" x14ac:dyDescent="0.2">
      <c r="B3" s="493"/>
      <c r="C3" s="196"/>
      <c r="D3" s="196"/>
      <c r="E3" s="196"/>
      <c r="F3" s="63"/>
    </row>
    <row r="4" spans="2:6" ht="15" x14ac:dyDescent="0.2">
      <c r="B4" s="493"/>
      <c r="C4" s="196"/>
      <c r="D4" s="196"/>
      <c r="E4" s="196"/>
      <c r="F4" s="63"/>
    </row>
    <row r="5" spans="2:6" ht="24" customHeight="1" thickBot="1" x14ac:dyDescent="0.25">
      <c r="B5" s="494" t="s">
        <v>177</v>
      </c>
      <c r="C5" s="495"/>
      <c r="D5" s="495"/>
      <c r="E5" s="495"/>
      <c r="F5" s="496"/>
    </row>
    <row r="6" spans="2:6" ht="16.5" thickBot="1" x14ac:dyDescent="0.3">
      <c r="B6" s="44"/>
      <c r="C6" s="44"/>
      <c r="D6" s="44"/>
      <c r="E6" s="44"/>
      <c r="F6" s="44"/>
    </row>
    <row r="7" spans="2:6" ht="16.5" thickBot="1" x14ac:dyDescent="0.25">
      <c r="B7" s="498" t="s">
        <v>178</v>
      </c>
      <c r="C7" s="499"/>
      <c r="D7" s="499"/>
      <c r="E7" s="56" t="s">
        <v>179</v>
      </c>
      <c r="F7" s="57" t="s">
        <v>180</v>
      </c>
    </row>
    <row r="8" spans="2:6" ht="31.5" x14ac:dyDescent="0.2">
      <c r="B8" s="500" t="s">
        <v>181</v>
      </c>
      <c r="C8" s="503" t="s">
        <v>87</v>
      </c>
      <c r="D8" s="45" t="s">
        <v>100</v>
      </c>
      <c r="E8" s="46" t="s">
        <v>182</v>
      </c>
      <c r="F8" s="47">
        <v>0.25</v>
      </c>
    </row>
    <row r="9" spans="2:6" ht="47.25" x14ac:dyDescent="0.2">
      <c r="B9" s="501"/>
      <c r="C9" s="504"/>
      <c r="D9" s="48" t="s">
        <v>183</v>
      </c>
      <c r="E9" s="49" t="s">
        <v>184</v>
      </c>
      <c r="F9" s="50">
        <v>0.15</v>
      </c>
    </row>
    <row r="10" spans="2:6" ht="47.25" x14ac:dyDescent="0.2">
      <c r="B10" s="501"/>
      <c r="C10" s="505"/>
      <c r="D10" s="48" t="s">
        <v>185</v>
      </c>
      <c r="E10" s="49" t="s">
        <v>186</v>
      </c>
      <c r="F10" s="50">
        <v>0.1</v>
      </c>
    </row>
    <row r="11" spans="2:6" ht="63" x14ac:dyDescent="0.2">
      <c r="B11" s="501"/>
      <c r="C11" s="506" t="s">
        <v>88</v>
      </c>
      <c r="D11" s="48" t="s">
        <v>187</v>
      </c>
      <c r="E11" s="49" t="s">
        <v>188</v>
      </c>
      <c r="F11" s="50">
        <v>0.25</v>
      </c>
    </row>
    <row r="12" spans="2:6" ht="31.5" x14ac:dyDescent="0.2">
      <c r="B12" s="502"/>
      <c r="C12" s="506"/>
      <c r="D12" s="48" t="s">
        <v>101</v>
      </c>
      <c r="E12" s="49" t="s">
        <v>189</v>
      </c>
      <c r="F12" s="50">
        <v>0.15</v>
      </c>
    </row>
    <row r="13" spans="2:6" ht="47.25" x14ac:dyDescent="0.2">
      <c r="B13" s="507" t="s">
        <v>190</v>
      </c>
      <c r="C13" s="506" t="s">
        <v>90</v>
      </c>
      <c r="D13" s="48" t="s">
        <v>102</v>
      </c>
      <c r="E13" s="49" t="s">
        <v>191</v>
      </c>
      <c r="F13" s="51" t="s">
        <v>192</v>
      </c>
    </row>
    <row r="14" spans="2:6" ht="63" x14ac:dyDescent="0.2">
      <c r="B14" s="507"/>
      <c r="C14" s="506"/>
      <c r="D14" s="48" t="s">
        <v>193</v>
      </c>
      <c r="E14" s="49" t="s">
        <v>194</v>
      </c>
      <c r="F14" s="51" t="s">
        <v>192</v>
      </c>
    </row>
    <row r="15" spans="2:6" ht="47.25" x14ac:dyDescent="0.2">
      <c r="B15" s="507"/>
      <c r="C15" s="506" t="s">
        <v>91</v>
      </c>
      <c r="D15" s="48" t="s">
        <v>103</v>
      </c>
      <c r="E15" s="49" t="s">
        <v>195</v>
      </c>
      <c r="F15" s="51" t="s">
        <v>192</v>
      </c>
    </row>
    <row r="16" spans="2:6" ht="47.25" x14ac:dyDescent="0.2">
      <c r="B16" s="507"/>
      <c r="C16" s="506"/>
      <c r="D16" s="48" t="s">
        <v>196</v>
      </c>
      <c r="E16" s="49" t="s">
        <v>197</v>
      </c>
      <c r="F16" s="51" t="s">
        <v>192</v>
      </c>
    </row>
    <row r="17" spans="2:6" ht="31.5" x14ac:dyDescent="0.2">
      <c r="B17" s="507"/>
      <c r="C17" s="506" t="s">
        <v>92</v>
      </c>
      <c r="D17" s="48" t="s">
        <v>104</v>
      </c>
      <c r="E17" s="49" t="s">
        <v>198</v>
      </c>
      <c r="F17" s="51" t="s">
        <v>192</v>
      </c>
    </row>
    <row r="18" spans="2:6" ht="32.25" thickBot="1" x14ac:dyDescent="0.25">
      <c r="B18" s="508"/>
      <c r="C18" s="509"/>
      <c r="D18" s="52" t="s">
        <v>199</v>
      </c>
      <c r="E18" s="53" t="s">
        <v>200</v>
      </c>
      <c r="F18" s="54" t="s">
        <v>192</v>
      </c>
    </row>
    <row r="19" spans="2:6" ht="49.5" customHeight="1" x14ac:dyDescent="0.2">
      <c r="B19" s="497" t="s">
        <v>201</v>
      </c>
      <c r="C19" s="497"/>
      <c r="D19" s="497"/>
      <c r="E19" s="497"/>
      <c r="F19" s="497"/>
    </row>
    <row r="20" spans="2:6" ht="27" customHeight="1" x14ac:dyDescent="0.25">
      <c r="B20" s="55"/>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19" zoomScale="110" zoomScaleNormal="110" workbookViewId="0">
      <selection activeCell="A6" sqref="A6:C6"/>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511"/>
      <c r="B1" s="517" t="s">
        <v>0</v>
      </c>
      <c r="C1" s="63"/>
    </row>
    <row r="2" spans="1:3" x14ac:dyDescent="0.25">
      <c r="A2" s="511"/>
      <c r="B2" s="517"/>
      <c r="C2" s="63"/>
    </row>
    <row r="3" spans="1:3" x14ac:dyDescent="0.25">
      <c r="A3" s="511"/>
      <c r="B3" s="517"/>
      <c r="C3" s="63"/>
    </row>
    <row r="4" spans="1:3" x14ac:dyDescent="0.25">
      <c r="A4" s="511"/>
      <c r="B4" s="517"/>
      <c r="C4" s="63" t="s">
        <v>202</v>
      </c>
    </row>
    <row r="5" spans="1:3" ht="40.5" customHeight="1" x14ac:dyDescent="0.25">
      <c r="A5" s="511"/>
      <c r="B5" s="511"/>
      <c r="C5" s="511"/>
    </row>
    <row r="6" spans="1:3" ht="56.25" customHeight="1" x14ac:dyDescent="0.25">
      <c r="A6" s="512" t="s">
        <v>203</v>
      </c>
      <c r="B6" s="512"/>
      <c r="C6" s="512"/>
    </row>
    <row r="7" spans="1:3" ht="51" customHeight="1" x14ac:dyDescent="0.25">
      <c r="A7" s="513" t="s">
        <v>204</v>
      </c>
      <c r="B7" s="513"/>
      <c r="C7" s="513"/>
    </row>
    <row r="8" spans="1:3" ht="53.25" customHeight="1" x14ac:dyDescent="0.25">
      <c r="A8" s="512" t="s">
        <v>205</v>
      </c>
      <c r="B8" s="512"/>
      <c r="C8" s="512"/>
    </row>
    <row r="9" spans="1:3" ht="310.5" customHeight="1" x14ac:dyDescent="0.25">
      <c r="A9" s="514" t="s">
        <v>206</v>
      </c>
      <c r="B9" s="514"/>
      <c r="C9" s="514"/>
    </row>
    <row r="10" spans="1:3" ht="21" customHeight="1" x14ac:dyDescent="0.25">
      <c r="A10" s="515" t="s">
        <v>207</v>
      </c>
      <c r="B10" s="62" t="s">
        <v>208</v>
      </c>
      <c r="C10" s="62" t="s">
        <v>19</v>
      </c>
    </row>
    <row r="11" spans="1:3" ht="21" customHeight="1" thickBot="1" x14ac:dyDescent="0.3">
      <c r="A11" s="516"/>
      <c r="B11" s="58" t="s">
        <v>209</v>
      </c>
      <c r="C11" s="59" t="s">
        <v>210</v>
      </c>
    </row>
    <row r="12" spans="1:3" ht="30" customHeight="1" thickBot="1" x14ac:dyDescent="0.3">
      <c r="A12" s="60">
        <v>1</v>
      </c>
      <c r="B12" s="61" t="s">
        <v>211</v>
      </c>
      <c r="C12" s="61" t="s">
        <v>212</v>
      </c>
    </row>
    <row r="13" spans="1:3" ht="30" customHeight="1" thickBot="1" x14ac:dyDescent="0.3">
      <c r="A13" s="60">
        <v>2</v>
      </c>
      <c r="B13" s="61" t="s">
        <v>213</v>
      </c>
      <c r="C13" s="61" t="s">
        <v>214</v>
      </c>
    </row>
    <row r="14" spans="1:3" ht="30" customHeight="1" thickBot="1" x14ac:dyDescent="0.3">
      <c r="A14" s="60">
        <v>3</v>
      </c>
      <c r="B14" s="61" t="s">
        <v>215</v>
      </c>
      <c r="C14" s="61" t="s">
        <v>216</v>
      </c>
    </row>
    <row r="15" spans="1:3" ht="30" customHeight="1" thickBot="1" x14ac:dyDescent="0.3">
      <c r="A15" s="60">
        <v>4</v>
      </c>
      <c r="B15" s="61" t="s">
        <v>217</v>
      </c>
      <c r="C15" s="61" t="s">
        <v>218</v>
      </c>
    </row>
    <row r="16" spans="1:3" ht="30" customHeight="1" thickBot="1" x14ac:dyDescent="0.3">
      <c r="A16" s="60">
        <v>5</v>
      </c>
      <c r="B16" s="61" t="s">
        <v>219</v>
      </c>
      <c r="C16" s="61" t="s">
        <v>220</v>
      </c>
    </row>
    <row r="17" spans="1:3" ht="30" customHeight="1" thickBot="1" x14ac:dyDescent="0.3">
      <c r="A17" s="60">
        <v>6</v>
      </c>
      <c r="B17" s="61" t="s">
        <v>221</v>
      </c>
      <c r="C17" s="61" t="s">
        <v>222</v>
      </c>
    </row>
    <row r="18" spans="1:3" ht="30" customHeight="1" thickBot="1" x14ac:dyDescent="0.3">
      <c r="A18" s="60">
        <v>7</v>
      </c>
      <c r="B18" s="61" t="s">
        <v>223</v>
      </c>
      <c r="C18" s="61" t="s">
        <v>224</v>
      </c>
    </row>
    <row r="19" spans="1:3" ht="30" customHeight="1" thickBot="1" x14ac:dyDescent="0.3">
      <c r="A19" s="60">
        <v>8</v>
      </c>
      <c r="B19" s="61" t="s">
        <v>221</v>
      </c>
      <c r="C19" s="61" t="s">
        <v>225</v>
      </c>
    </row>
    <row r="20" spans="1:3" ht="53.25" customHeight="1" thickBot="1" x14ac:dyDescent="0.3">
      <c r="A20" s="60">
        <v>9</v>
      </c>
      <c r="B20" s="61" t="s">
        <v>226</v>
      </c>
      <c r="C20" s="61" t="s">
        <v>227</v>
      </c>
    </row>
    <row r="21" spans="1:3" ht="30" customHeight="1" thickBot="1" x14ac:dyDescent="0.3">
      <c r="A21" s="60">
        <v>10</v>
      </c>
      <c r="B21" s="61" t="s">
        <v>228</v>
      </c>
      <c r="C21" s="61" t="s">
        <v>229</v>
      </c>
    </row>
    <row r="22" spans="1:3" ht="30" customHeight="1" thickBot="1" x14ac:dyDescent="0.3">
      <c r="A22" s="60">
        <v>11</v>
      </c>
      <c r="B22" s="61" t="s">
        <v>230</v>
      </c>
      <c r="C22" s="61" t="s">
        <v>231</v>
      </c>
    </row>
    <row r="23" spans="1:3" ht="30" customHeight="1" thickBot="1" x14ac:dyDescent="0.3">
      <c r="A23" s="60">
        <v>12</v>
      </c>
      <c r="B23" s="61" t="s">
        <v>232</v>
      </c>
      <c r="C23" s="61" t="s">
        <v>233</v>
      </c>
    </row>
    <row r="24" spans="1:3" ht="30" customHeight="1" thickBot="1" x14ac:dyDescent="0.3">
      <c r="A24" s="60">
        <v>13</v>
      </c>
      <c r="B24" s="61" t="s">
        <v>234</v>
      </c>
      <c r="C24" s="61" t="s">
        <v>235</v>
      </c>
    </row>
    <row r="25" spans="1:3" ht="30" customHeight="1" thickBot="1" x14ac:dyDescent="0.3">
      <c r="A25" s="60">
        <v>14</v>
      </c>
      <c r="B25" s="61" t="s">
        <v>236</v>
      </c>
      <c r="C25" s="61" t="s">
        <v>237</v>
      </c>
    </row>
    <row r="26" spans="1:3" ht="30" customHeight="1" thickBot="1" x14ac:dyDescent="0.3">
      <c r="A26" s="60">
        <v>15</v>
      </c>
      <c r="B26" s="61" t="s">
        <v>238</v>
      </c>
      <c r="C26" s="61" t="s">
        <v>239</v>
      </c>
    </row>
    <row r="27" spans="1:3" ht="30" customHeight="1" thickBot="1" x14ac:dyDescent="0.3">
      <c r="A27" s="60">
        <v>16</v>
      </c>
      <c r="B27" s="61" t="s">
        <v>240</v>
      </c>
      <c r="C27" s="61" t="s">
        <v>241</v>
      </c>
    </row>
    <row r="28" spans="1:3" ht="30" customHeight="1" thickBot="1" x14ac:dyDescent="0.3">
      <c r="A28" s="60">
        <v>17</v>
      </c>
      <c r="B28" s="61" t="s">
        <v>242</v>
      </c>
      <c r="C28" s="61" t="s">
        <v>243</v>
      </c>
    </row>
    <row r="29" spans="1:3" ht="30" customHeight="1" thickBot="1" x14ac:dyDescent="0.3">
      <c r="A29" s="60">
        <v>18</v>
      </c>
      <c r="B29" s="61" t="s">
        <v>242</v>
      </c>
      <c r="C29" s="61" t="s">
        <v>244</v>
      </c>
    </row>
    <row r="30" spans="1:3" ht="30" customHeight="1" thickBot="1" x14ac:dyDescent="0.3">
      <c r="A30" s="60">
        <v>19</v>
      </c>
      <c r="B30" s="61" t="s">
        <v>242</v>
      </c>
      <c r="C30" s="61" t="s">
        <v>245</v>
      </c>
    </row>
    <row r="31" spans="1:3" ht="30" customHeight="1" thickBot="1" x14ac:dyDescent="0.3">
      <c r="A31" s="60">
        <v>20</v>
      </c>
      <c r="B31" s="61" t="s">
        <v>242</v>
      </c>
      <c r="C31" s="61" t="s">
        <v>246</v>
      </c>
    </row>
    <row r="32" spans="1:3" ht="30" customHeight="1" thickBot="1" x14ac:dyDescent="0.3">
      <c r="A32" s="60">
        <v>21</v>
      </c>
      <c r="B32" s="61" t="s">
        <v>247</v>
      </c>
      <c r="C32" s="61" t="s">
        <v>248</v>
      </c>
    </row>
    <row r="33" spans="1:3" ht="30" customHeight="1" thickBot="1" x14ac:dyDescent="0.3">
      <c r="A33" s="60">
        <v>22</v>
      </c>
      <c r="B33" s="61" t="s">
        <v>249</v>
      </c>
      <c r="C33" s="61" t="s">
        <v>250</v>
      </c>
    </row>
    <row r="34" spans="1:3" ht="30" customHeight="1" thickBot="1" x14ac:dyDescent="0.3">
      <c r="A34" s="60">
        <v>23</v>
      </c>
      <c r="B34" s="61" t="s">
        <v>251</v>
      </c>
      <c r="C34" s="61" t="s">
        <v>252</v>
      </c>
    </row>
    <row r="35" spans="1:3" ht="39.75" customHeight="1" thickBot="1" x14ac:dyDescent="0.3">
      <c r="A35" s="60">
        <v>24</v>
      </c>
      <c r="B35" s="61" t="s">
        <v>253</v>
      </c>
      <c r="C35" s="61" t="s">
        <v>254</v>
      </c>
    </row>
    <row r="36" spans="1:3" ht="30" customHeight="1" thickBot="1" x14ac:dyDescent="0.3">
      <c r="A36" s="60">
        <v>25</v>
      </c>
      <c r="B36" s="61" t="s">
        <v>255</v>
      </c>
      <c r="C36" s="61" t="s">
        <v>256</v>
      </c>
    </row>
    <row r="37" spans="1:3" ht="30" customHeight="1" thickBot="1" x14ac:dyDescent="0.3">
      <c r="A37" s="60">
        <v>26</v>
      </c>
      <c r="B37" s="61" t="s">
        <v>257</v>
      </c>
      <c r="C37" s="61" t="s">
        <v>258</v>
      </c>
    </row>
    <row r="38" spans="1:3" ht="30" customHeight="1" thickBot="1" x14ac:dyDescent="0.3">
      <c r="A38" s="60">
        <v>27</v>
      </c>
      <c r="B38" s="61" t="s">
        <v>259</v>
      </c>
      <c r="C38" s="61" t="s">
        <v>260</v>
      </c>
    </row>
    <row r="39" spans="1:3" ht="30" customHeight="1" thickBot="1" x14ac:dyDescent="0.3">
      <c r="A39" s="60">
        <v>28</v>
      </c>
      <c r="B39" s="61" t="s">
        <v>261</v>
      </c>
      <c r="C39" s="61" t="s">
        <v>262</v>
      </c>
    </row>
    <row r="40" spans="1:3" ht="30" customHeight="1" thickBot="1" x14ac:dyDescent="0.3">
      <c r="A40" s="60">
        <v>29</v>
      </c>
      <c r="B40" s="61" t="s">
        <v>263</v>
      </c>
      <c r="C40" s="61" t="s">
        <v>264</v>
      </c>
    </row>
    <row r="41" spans="1:3" ht="30" customHeight="1" thickBot="1" x14ac:dyDescent="0.3">
      <c r="A41" s="60">
        <v>30</v>
      </c>
      <c r="B41" s="61" t="s">
        <v>265</v>
      </c>
      <c r="C41" s="61" t="s">
        <v>266</v>
      </c>
    </row>
    <row r="42" spans="1:3" ht="30" customHeight="1" thickBot="1" x14ac:dyDescent="0.3">
      <c r="A42" s="60">
        <v>31</v>
      </c>
      <c r="B42" s="61" t="s">
        <v>267</v>
      </c>
      <c r="C42" s="61" t="s">
        <v>268</v>
      </c>
    </row>
    <row r="43" spans="1:3" ht="30" customHeight="1" thickBot="1" x14ac:dyDescent="0.3">
      <c r="A43" s="60">
        <v>32</v>
      </c>
      <c r="B43" s="61" t="s">
        <v>269</v>
      </c>
      <c r="C43" s="61" t="s">
        <v>270</v>
      </c>
    </row>
    <row r="44" spans="1:3" ht="30" customHeight="1" thickBot="1" x14ac:dyDescent="0.3">
      <c r="A44" s="60">
        <v>33</v>
      </c>
      <c r="B44" s="61" t="s">
        <v>271</v>
      </c>
      <c r="C44" s="61" t="s">
        <v>94</v>
      </c>
    </row>
    <row r="45" spans="1:3" ht="30" customHeight="1" thickBot="1" x14ac:dyDescent="0.3">
      <c r="A45" s="60">
        <v>34</v>
      </c>
      <c r="B45" s="61" t="s">
        <v>272</v>
      </c>
      <c r="C45" s="61" t="s">
        <v>273</v>
      </c>
    </row>
    <row r="46" spans="1:3" ht="30" customHeight="1" thickBot="1" x14ac:dyDescent="0.3">
      <c r="A46" s="60">
        <v>35</v>
      </c>
      <c r="B46" s="61" t="s">
        <v>274</v>
      </c>
      <c r="C46" s="61" t="s">
        <v>275</v>
      </c>
    </row>
    <row r="47" spans="1:3" ht="30" customHeight="1" thickBot="1" x14ac:dyDescent="0.3">
      <c r="A47" s="60">
        <v>36</v>
      </c>
      <c r="B47" s="61" t="s">
        <v>249</v>
      </c>
      <c r="C47" s="61" t="s">
        <v>276</v>
      </c>
    </row>
    <row r="48" spans="1:3" ht="30" customHeight="1" thickBot="1" x14ac:dyDescent="0.3">
      <c r="A48" s="60">
        <v>37</v>
      </c>
      <c r="B48" s="61" t="s">
        <v>277</v>
      </c>
      <c r="C48" s="61" t="s">
        <v>278</v>
      </c>
    </row>
    <row r="49" spans="1:3" ht="30" customHeight="1" thickBot="1" x14ac:dyDescent="0.3">
      <c r="A49" s="60">
        <v>38</v>
      </c>
      <c r="B49" s="61" t="s">
        <v>279</v>
      </c>
      <c r="C49" s="61" t="s">
        <v>280</v>
      </c>
    </row>
    <row r="50" spans="1:3" ht="30" customHeight="1" thickBot="1" x14ac:dyDescent="0.3">
      <c r="A50" s="60">
        <v>39</v>
      </c>
      <c r="B50" s="61" t="s">
        <v>281</v>
      </c>
      <c r="C50" s="61" t="s">
        <v>282</v>
      </c>
    </row>
    <row r="51" spans="1:3" ht="30" customHeight="1" thickBot="1" x14ac:dyDescent="0.3">
      <c r="A51" s="60">
        <v>40</v>
      </c>
      <c r="B51" s="61" t="s">
        <v>283</v>
      </c>
      <c r="C51" s="61" t="s">
        <v>284</v>
      </c>
    </row>
    <row r="52" spans="1:3" ht="30" customHeight="1" thickBot="1" x14ac:dyDescent="0.3">
      <c r="A52" s="60">
        <v>41</v>
      </c>
      <c r="B52" s="61" t="s">
        <v>281</v>
      </c>
      <c r="C52" s="61" t="s">
        <v>285</v>
      </c>
    </row>
    <row r="53" spans="1:3" ht="30" customHeight="1" thickBot="1" x14ac:dyDescent="0.3">
      <c r="A53" s="60">
        <v>42</v>
      </c>
      <c r="B53" s="61" t="s">
        <v>286</v>
      </c>
      <c r="C53" s="61" t="s">
        <v>287</v>
      </c>
    </row>
    <row r="54" spans="1:3" ht="30" customHeight="1" thickBot="1" x14ac:dyDescent="0.3">
      <c r="A54" s="60">
        <v>43</v>
      </c>
      <c r="B54" s="61" t="s">
        <v>288</v>
      </c>
      <c r="C54" s="61" t="s">
        <v>289</v>
      </c>
    </row>
    <row r="55" spans="1:3" ht="30" customHeight="1" thickBot="1" x14ac:dyDescent="0.3">
      <c r="A55" s="60">
        <v>43</v>
      </c>
      <c r="B55" s="61" t="s">
        <v>290</v>
      </c>
      <c r="C55" s="61" t="s">
        <v>291</v>
      </c>
    </row>
    <row r="56" spans="1:3" ht="30" customHeight="1" thickBot="1" x14ac:dyDescent="0.3">
      <c r="A56" s="60">
        <v>44</v>
      </c>
      <c r="B56" s="61" t="s">
        <v>292</v>
      </c>
      <c r="C56" s="61" t="s">
        <v>293</v>
      </c>
    </row>
    <row r="57" spans="1:3" ht="30" customHeight="1" thickBot="1" x14ac:dyDescent="0.3">
      <c r="A57" s="60">
        <v>45</v>
      </c>
      <c r="B57" s="61" t="s">
        <v>294</v>
      </c>
      <c r="C57" s="61" t="s">
        <v>295</v>
      </c>
    </row>
    <row r="58" spans="1:3" ht="40.5" customHeight="1" thickBot="1" x14ac:dyDescent="0.3">
      <c r="A58" s="60">
        <v>46</v>
      </c>
      <c r="B58" s="61" t="s">
        <v>296</v>
      </c>
      <c r="C58" s="61" t="s">
        <v>297</v>
      </c>
    </row>
    <row r="59" spans="1:3" ht="30" customHeight="1" thickBot="1" x14ac:dyDescent="0.3">
      <c r="A59" s="60">
        <v>47</v>
      </c>
      <c r="B59" s="61" t="s">
        <v>298</v>
      </c>
      <c r="C59" s="61" t="s">
        <v>299</v>
      </c>
    </row>
    <row r="60" spans="1:3" ht="30" customHeight="1" thickBot="1" x14ac:dyDescent="0.3">
      <c r="A60" s="60">
        <v>48</v>
      </c>
      <c r="B60" s="61" t="s">
        <v>298</v>
      </c>
      <c r="C60" s="61" t="s">
        <v>300</v>
      </c>
    </row>
    <row r="61" spans="1:3" ht="30" customHeight="1" thickBot="1" x14ac:dyDescent="0.3">
      <c r="A61" s="60">
        <v>49</v>
      </c>
      <c r="B61" s="61" t="s">
        <v>298</v>
      </c>
      <c r="C61" s="61" t="s">
        <v>301</v>
      </c>
    </row>
    <row r="62" spans="1:3" ht="30" customHeight="1" thickBot="1" x14ac:dyDescent="0.3">
      <c r="A62" s="60">
        <v>50</v>
      </c>
      <c r="B62" s="61" t="s">
        <v>302</v>
      </c>
      <c r="C62" s="61" t="s">
        <v>303</v>
      </c>
    </row>
    <row r="63" spans="1:3" ht="21.75" customHeight="1" x14ac:dyDescent="0.3">
      <c r="A63" s="518" t="s">
        <v>304</v>
      </c>
      <c r="B63" s="518"/>
      <c r="C63" s="518"/>
    </row>
    <row r="65" spans="1:3" x14ac:dyDescent="0.25">
      <c r="A65" s="519" t="s">
        <v>305</v>
      </c>
      <c r="B65" s="520"/>
      <c r="C65" s="520"/>
    </row>
    <row r="66" spans="1:3" x14ac:dyDescent="0.25">
      <c r="A66" s="520"/>
      <c r="B66" s="520"/>
      <c r="C66" s="520"/>
    </row>
    <row r="67" spans="1:3" x14ac:dyDescent="0.25">
      <c r="A67" s="520"/>
      <c r="B67" s="520"/>
      <c r="C67" s="520"/>
    </row>
    <row r="68" spans="1:3" x14ac:dyDescent="0.25">
      <c r="A68" s="520"/>
      <c r="B68" s="520"/>
      <c r="C68" s="520"/>
    </row>
    <row r="69" spans="1:3" x14ac:dyDescent="0.25">
      <c r="A69" s="520"/>
      <c r="B69" s="520"/>
      <c r="C69" s="520"/>
    </row>
    <row r="70" spans="1:3" x14ac:dyDescent="0.25">
      <c r="A70" s="520"/>
      <c r="B70" s="520"/>
      <c r="C70" s="520"/>
    </row>
    <row r="71" spans="1:3" x14ac:dyDescent="0.25">
      <c r="A71" s="520"/>
      <c r="B71" s="520"/>
      <c r="C71" s="520"/>
    </row>
    <row r="72" spans="1:3" x14ac:dyDescent="0.25">
      <c r="A72" s="520"/>
      <c r="B72" s="520"/>
      <c r="C72" s="520"/>
    </row>
    <row r="73" spans="1:3" x14ac:dyDescent="0.25">
      <c r="A73" s="520"/>
      <c r="B73" s="520"/>
      <c r="C73" s="520"/>
    </row>
    <row r="75" spans="1:3" x14ac:dyDescent="0.25">
      <c r="A75" s="521" t="s">
        <v>306</v>
      </c>
      <c r="B75" s="522"/>
      <c r="C75" s="522"/>
    </row>
    <row r="76" spans="1:3" x14ac:dyDescent="0.25">
      <c r="A76" s="522"/>
      <c r="B76" s="522"/>
      <c r="C76" s="522"/>
    </row>
    <row r="77" spans="1:3" x14ac:dyDescent="0.25">
      <c r="A77" s="522"/>
      <c r="B77" s="522"/>
      <c r="C77" s="522"/>
    </row>
    <row r="79" spans="1:3" x14ac:dyDescent="0.25">
      <c r="A79" s="510"/>
      <c r="B79" s="510"/>
      <c r="C79" s="510"/>
    </row>
    <row r="80" spans="1:3" x14ac:dyDescent="0.25">
      <c r="A80" s="510"/>
      <c r="B80" s="510"/>
      <c r="C80" s="510"/>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307</v>
      </c>
      <c r="E2" t="s">
        <v>93</v>
      </c>
    </row>
    <row r="3" spans="2:5" x14ac:dyDescent="0.25">
      <c r="B3" t="s">
        <v>308</v>
      </c>
    </row>
    <row r="4" spans="2:5" x14ac:dyDescent="0.25">
      <c r="B4" t="s">
        <v>309</v>
      </c>
    </row>
    <row r="5" spans="2:5" x14ac:dyDescent="0.25">
      <c r="B5" t="s">
        <v>105</v>
      </c>
    </row>
    <row r="8" spans="2:5" x14ac:dyDescent="0.25">
      <c r="B8" t="s">
        <v>310</v>
      </c>
    </row>
    <row r="9" spans="2:5" x14ac:dyDescent="0.25">
      <c r="B9" t="s">
        <v>311</v>
      </c>
    </row>
    <row r="10" spans="2:5" x14ac:dyDescent="0.25">
      <c r="B10" t="s">
        <v>312</v>
      </c>
    </row>
    <row r="13" spans="2:5" x14ac:dyDescent="0.25">
      <c r="B13" t="s">
        <v>313</v>
      </c>
    </row>
    <row r="14" spans="2:5" x14ac:dyDescent="0.25">
      <c r="B14" t="s">
        <v>97</v>
      </c>
    </row>
    <row r="15" spans="2:5" x14ac:dyDescent="0.25">
      <c r="B15" t="s">
        <v>314</v>
      </c>
    </row>
    <row r="16" spans="2:5" x14ac:dyDescent="0.25">
      <c r="B16" t="s">
        <v>315</v>
      </c>
    </row>
    <row r="17" spans="2:2" x14ac:dyDescent="0.25">
      <c r="B17" t="s">
        <v>316</v>
      </c>
    </row>
    <row r="18" spans="2:2" x14ac:dyDescent="0.25">
      <c r="B18" t="s">
        <v>317</v>
      </c>
    </row>
    <row r="19" spans="2:2" x14ac:dyDescent="0.25">
      <c r="B19" t="s">
        <v>318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aux01</cp:lastModifiedBy>
  <cp:revision/>
  <cp:lastPrinted>2024-01-31T16:20:19Z</cp:lastPrinted>
  <dcterms:created xsi:type="dcterms:W3CDTF">2020-03-24T23:12:47Z</dcterms:created>
  <dcterms:modified xsi:type="dcterms:W3CDTF">2024-02-02T17:01:43Z</dcterms:modified>
  <cp:category/>
  <cp:contentStatus/>
</cp:coreProperties>
</file>