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F:\LILIANAMARC\USB LILIANA\VIG 2024\1. PLANES\PAAC 2024\"/>
    </mc:Choice>
  </mc:AlternateContent>
  <xr:revisionPtr revIDLastSave="0" documentId="13_ncr:1_{F54CE1E4-5A09-41E0-AE5F-BA09B9942556}" xr6:coauthVersionLast="47" xr6:coauthVersionMax="47" xr10:uidLastSave="{00000000-0000-0000-0000-000000000000}"/>
  <bookViews>
    <workbookView xWindow="-120" yWindow="-120" windowWidth="29040" windowHeight="15840" tabRatio="629" firstSheet="1" activeTab="1" xr2:uid="{00000000-000D-0000-FFFF-FFFF00000000}"/>
  </bookViews>
  <sheets>
    <sheet name="Instructivo " sheetId="21" state="hidden" r:id="rId1"/>
    <sheet name="Mapa de Riesgos" sheetId="1" r:id="rId2"/>
    <sheet name="Matriz Calor Inherente" sheetId="18" r:id="rId3"/>
    <sheet name="Matriz Calor Residual" sheetId="19" r:id="rId4"/>
    <sheet name="Tabla probabilidad" sheetId="12" r:id="rId5"/>
    <sheet name="Tabla Impacto" sheetId="13" r:id="rId6"/>
    <sheet name="Tabla Valoración controles" sheetId="15" r:id="rId7"/>
    <sheet name="Anexo 1" sheetId="22" r:id="rId8"/>
    <sheet name="Opciones Tratamiento" sheetId="16" state="hidden" r:id="rId9"/>
    <sheet name="Hoja1" sheetId="11" state="hidden" r:id="rId10"/>
  </sheets>
  <externalReferences>
    <externalReference r:id="rId11"/>
    <externalReference r:id="rId12"/>
  </externalReferences>
  <definedNames>
    <definedName name="_xlnm._FilterDatabase" localSheetId="1" hidden="1">'Mapa de Riesgos'!$A$10:$BR$83</definedName>
  </definedNames>
  <calcPr calcId="181029"/>
  <pivotCaches>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9" i="1" l="1"/>
  <c r="AB59" i="1" s="1"/>
  <c r="Y59" i="1"/>
  <c r="Z59" i="1" s="1"/>
  <c r="AD59" i="1" s="1"/>
  <c r="U59" i="1"/>
  <c r="AC17" i="1"/>
  <c r="AB17" i="1" s="1"/>
  <c r="U17" i="1"/>
  <c r="Y17" i="1" s="1"/>
  <c r="U56" i="1"/>
  <c r="R56" i="1"/>
  <c r="AC56" i="1" s="1"/>
  <c r="AB56" i="1" s="1"/>
  <c r="R12" i="1"/>
  <c r="AC12" i="1" s="1"/>
  <c r="AB12" i="1" s="1"/>
  <c r="AC23" i="1"/>
  <c r="AB23" i="1" s="1"/>
  <c r="U23" i="1"/>
  <c r="Y23" i="1" s="1"/>
  <c r="L22" i="1"/>
  <c r="L21" i="1"/>
  <c r="L20" i="1"/>
  <c r="L19" i="1"/>
  <c r="L18" i="1"/>
  <c r="L17" i="1"/>
  <c r="M17" i="1" s="1"/>
  <c r="L28" i="1"/>
  <c r="L27" i="1"/>
  <c r="L26" i="1"/>
  <c r="L25" i="1"/>
  <c r="L24" i="1"/>
  <c r="L23" i="1"/>
  <c r="M23" i="1" s="1"/>
  <c r="U82" i="1"/>
  <c r="R82" i="1"/>
  <c r="L82" i="1"/>
  <c r="U81" i="1"/>
  <c r="R81" i="1"/>
  <c r="L81" i="1"/>
  <c r="U80" i="1"/>
  <c r="R80" i="1"/>
  <c r="L80" i="1"/>
  <c r="U79" i="1"/>
  <c r="R79" i="1"/>
  <c r="L79" i="1"/>
  <c r="U78" i="1"/>
  <c r="R78" i="1"/>
  <c r="L78" i="1"/>
  <c r="AC77" i="1"/>
  <c r="AB77" i="1" s="1"/>
  <c r="Y77" i="1"/>
  <c r="AA77" i="1" s="1"/>
  <c r="U77" i="1"/>
  <c r="I77" i="1"/>
  <c r="J77" i="1" s="1"/>
  <c r="U76" i="1"/>
  <c r="R76" i="1"/>
  <c r="L76" i="1"/>
  <c r="U75" i="1"/>
  <c r="R75" i="1"/>
  <c r="L75" i="1"/>
  <c r="U74" i="1"/>
  <c r="R74" i="1"/>
  <c r="L74" i="1"/>
  <c r="U73" i="1"/>
  <c r="R73" i="1"/>
  <c r="L73" i="1"/>
  <c r="U72" i="1"/>
  <c r="R72" i="1"/>
  <c r="L72" i="1"/>
  <c r="I71" i="1"/>
  <c r="J71" i="1" s="1"/>
  <c r="AA59" i="1" l="1"/>
  <c r="Y73" i="1"/>
  <c r="AA73" i="1" s="1"/>
  <c r="Z17" i="1"/>
  <c r="AD17" i="1" s="1"/>
  <c r="AA17" i="1"/>
  <c r="AC76" i="1"/>
  <c r="AB76" i="1" s="1"/>
  <c r="Y56" i="1"/>
  <c r="AC75" i="1"/>
  <c r="AB75" i="1" s="1"/>
  <c r="Y76" i="1"/>
  <c r="AA76" i="1" s="1"/>
  <c r="AC80" i="1"/>
  <c r="AB80" i="1" s="1"/>
  <c r="AC82" i="1"/>
  <c r="AB82" i="1" s="1"/>
  <c r="Y12" i="1"/>
  <c r="Y80" i="1"/>
  <c r="AA80" i="1" s="1"/>
  <c r="AC74" i="1"/>
  <c r="AB74" i="1" s="1"/>
  <c r="AC73" i="1"/>
  <c r="AB73" i="1" s="1"/>
  <c r="AC79" i="1"/>
  <c r="AB79" i="1" s="1"/>
  <c r="Y72" i="1"/>
  <c r="Z72" i="1" s="1"/>
  <c r="AC72" i="1"/>
  <c r="AB72" i="1" s="1"/>
  <c r="AC81" i="1"/>
  <c r="AB81" i="1" s="1"/>
  <c r="Z23" i="1"/>
  <c r="AD23" i="1" s="1"/>
  <c r="AA23" i="1"/>
  <c r="N17" i="1"/>
  <c r="N23" i="1"/>
  <c r="Y81" i="1"/>
  <c r="Z76" i="1"/>
  <c r="Y74" i="1"/>
  <c r="Z77" i="1"/>
  <c r="AD77" i="1" s="1"/>
  <c r="Y78" i="1"/>
  <c r="AC78" i="1"/>
  <c r="AB78" i="1" s="1"/>
  <c r="Y82" i="1"/>
  <c r="Y75" i="1"/>
  <c r="Y79" i="1"/>
  <c r="Z80" i="1" l="1"/>
  <c r="AD80" i="1" s="1"/>
  <c r="Z73" i="1"/>
  <c r="AD73" i="1" s="1"/>
  <c r="AD76" i="1"/>
  <c r="AA72" i="1"/>
  <c r="Z56" i="1"/>
  <c r="AD56" i="1" s="1"/>
  <c r="AA56" i="1"/>
  <c r="Z12" i="1"/>
  <c r="AD12" i="1" s="1"/>
  <c r="AA12" i="1"/>
  <c r="AD72" i="1"/>
  <c r="Z79" i="1"/>
  <c r="AD79" i="1" s="1"/>
  <c r="AA79" i="1"/>
  <c r="Z78" i="1"/>
  <c r="AD78" i="1" s="1"/>
  <c r="AA78" i="1"/>
  <c r="AA75" i="1"/>
  <c r="Z75" i="1"/>
  <c r="AD75" i="1" s="1"/>
  <c r="Z82" i="1"/>
  <c r="AD82" i="1" s="1"/>
  <c r="AA82" i="1"/>
  <c r="Z74" i="1"/>
  <c r="AD74" i="1" s="1"/>
  <c r="AA74" i="1"/>
  <c r="AA81" i="1"/>
  <c r="Z81" i="1"/>
  <c r="AD81" i="1" s="1"/>
  <c r="U55" i="1" l="1"/>
  <c r="U54" i="1" l="1"/>
  <c r="R54" i="1"/>
  <c r="U53" i="1"/>
  <c r="R53" i="1"/>
  <c r="L58" i="1"/>
  <c r="L57" i="1"/>
  <c r="L56" i="1"/>
  <c r="L55" i="1"/>
  <c r="L54" i="1"/>
  <c r="L53" i="1"/>
  <c r="M53" i="1" s="1"/>
  <c r="Y55" i="1" l="1"/>
  <c r="N53" i="1"/>
  <c r="AC53" i="1" s="1"/>
  <c r="AB53" i="1" s="1"/>
  <c r="AA55" i="1" l="1"/>
  <c r="Z55" i="1"/>
  <c r="AC54" i="1"/>
  <c r="AB54" i="1" l="1"/>
  <c r="AC55" i="1"/>
  <c r="AB55" i="1" s="1"/>
  <c r="AD55" i="1" s="1"/>
  <c r="Z13" i="1" l="1"/>
  <c r="Z14" i="1"/>
  <c r="U47" i="1"/>
  <c r="R47" i="1"/>
  <c r="U41" i="1"/>
  <c r="R41" i="1"/>
  <c r="L52" i="1"/>
  <c r="L51" i="1"/>
  <c r="L50" i="1"/>
  <c r="L49" i="1"/>
  <c r="L48" i="1"/>
  <c r="I47" i="1"/>
  <c r="J47" i="1" l="1"/>
  <c r="Y47" i="1" s="1"/>
  <c r="Z47" i="1" l="1"/>
  <c r="AA47" i="1"/>
  <c r="L40" i="1" l="1"/>
  <c r="L39" i="1"/>
  <c r="L38" i="1"/>
  <c r="L37" i="1"/>
  <c r="L36" i="1"/>
  <c r="U35" i="1"/>
  <c r="R35" i="1"/>
  <c r="Y36" i="1" s="1"/>
  <c r="L35" i="1"/>
  <c r="M35" i="1" s="1"/>
  <c r="N35" i="1" s="1"/>
  <c r="I35" i="1"/>
  <c r="U46" i="1"/>
  <c r="R46" i="1"/>
  <c r="L46" i="1"/>
  <c r="U45" i="1"/>
  <c r="R45" i="1"/>
  <c r="L45" i="1"/>
  <c r="U44" i="1"/>
  <c r="R44" i="1"/>
  <c r="L44" i="1"/>
  <c r="U43" i="1"/>
  <c r="R43" i="1"/>
  <c r="L43" i="1"/>
  <c r="U42" i="1"/>
  <c r="R42" i="1"/>
  <c r="AC42" i="1" s="1"/>
  <c r="AB42" i="1" s="1"/>
  <c r="L42" i="1"/>
  <c r="I41" i="1"/>
  <c r="J41" i="1" s="1"/>
  <c r="Y41" i="1" s="1"/>
  <c r="Z41" i="1" l="1"/>
  <c r="AA41" i="1"/>
  <c r="Y42" i="1"/>
  <c r="Z42" i="1" s="1"/>
  <c r="AD42" i="1" s="1"/>
  <c r="AC46" i="1"/>
  <c r="AB46" i="1" s="1"/>
  <c r="AC43" i="1"/>
  <c r="AB43" i="1" s="1"/>
  <c r="AC45" i="1"/>
  <c r="AB45" i="1" s="1"/>
  <c r="O35" i="1"/>
  <c r="AC35" i="1"/>
  <c r="AB35" i="1" s="1"/>
  <c r="J35" i="1"/>
  <c r="Y35" i="1" s="1"/>
  <c r="Y39" i="1"/>
  <c r="Y40" i="1"/>
  <c r="Y44" i="1"/>
  <c r="AC44" i="1"/>
  <c r="AB44" i="1" s="1"/>
  <c r="Y45" i="1"/>
  <c r="Y46" i="1"/>
  <c r="Y43" i="1"/>
  <c r="AA42" i="1" l="1"/>
  <c r="AA35" i="1"/>
  <c r="Z35" i="1"/>
  <c r="AD35" i="1" s="1"/>
  <c r="AA43" i="1"/>
  <c r="Z43" i="1"/>
  <c r="AD43" i="1" s="1"/>
  <c r="Z46" i="1"/>
  <c r="AD46" i="1" s="1"/>
  <c r="AA46" i="1"/>
  <c r="AA45" i="1"/>
  <c r="Z45" i="1"/>
  <c r="AD45" i="1" s="1"/>
  <c r="AA44" i="1"/>
  <c r="Z44" i="1"/>
  <c r="AD44" i="1" s="1"/>
  <c r="U29" i="1" l="1"/>
  <c r="R29" i="1"/>
  <c r="R11" i="1" l="1"/>
  <c r="I59" i="1" l="1"/>
  <c r="J59" i="1" s="1"/>
  <c r="U65" i="1"/>
  <c r="L60" i="1"/>
  <c r="R60" i="1"/>
  <c r="U60" i="1"/>
  <c r="L61" i="1"/>
  <c r="R61" i="1"/>
  <c r="U61" i="1"/>
  <c r="L62" i="1"/>
  <c r="R62" i="1"/>
  <c r="U62" i="1"/>
  <c r="L63" i="1"/>
  <c r="R63" i="1"/>
  <c r="U63" i="1"/>
  <c r="L64" i="1"/>
  <c r="R64" i="1"/>
  <c r="U64" i="1"/>
  <c r="I65" i="1"/>
  <c r="J65" i="1" s="1"/>
  <c r="L66" i="1"/>
  <c r="R66" i="1"/>
  <c r="U66" i="1"/>
  <c r="L67" i="1"/>
  <c r="R67" i="1"/>
  <c r="U67" i="1"/>
  <c r="L68" i="1"/>
  <c r="R68" i="1"/>
  <c r="U68" i="1"/>
  <c r="L69" i="1"/>
  <c r="R69" i="1"/>
  <c r="U69" i="1"/>
  <c r="L70" i="1"/>
  <c r="R70" i="1"/>
  <c r="U70" i="1"/>
  <c r="AC63" i="1" l="1"/>
  <c r="AB63" i="1" s="1"/>
  <c r="Y67" i="1"/>
  <c r="Z67" i="1" s="1"/>
  <c r="AC62" i="1"/>
  <c r="AB62" i="1" s="1"/>
  <c r="AC66" i="1"/>
  <c r="AB66" i="1" s="1"/>
  <c r="AC65" i="1"/>
  <c r="AB65" i="1" s="1"/>
  <c r="Y65" i="1"/>
  <c r="AA65" i="1" s="1"/>
  <c r="Y61" i="1"/>
  <c r="AA61" i="1" s="1"/>
  <c r="Y70" i="1"/>
  <c r="AA70" i="1" s="1"/>
  <c r="Y66" i="1"/>
  <c r="AA66" i="1" s="1"/>
  <c r="Y64" i="1"/>
  <c r="Z64" i="1" s="1"/>
  <c r="Y62" i="1"/>
  <c r="AA62" i="1" s="1"/>
  <c r="Y69" i="1"/>
  <c r="Z69" i="1" s="1"/>
  <c r="AC67" i="1"/>
  <c r="AB67" i="1" s="1"/>
  <c r="Y63" i="1"/>
  <c r="Z63" i="1" s="1"/>
  <c r="Y68" i="1"/>
  <c r="AA68" i="1" s="1"/>
  <c r="AC69" i="1"/>
  <c r="AB69" i="1" s="1"/>
  <c r="AC61" i="1"/>
  <c r="AB61" i="1" s="1"/>
  <c r="AC70" i="1"/>
  <c r="AB70" i="1" s="1"/>
  <c r="AC68" i="1"/>
  <c r="AB68" i="1" s="1"/>
  <c r="AC60" i="1"/>
  <c r="AB60" i="1" s="1"/>
  <c r="AC64" i="1"/>
  <c r="AB64" i="1" s="1"/>
  <c r="Y60" i="1"/>
  <c r="AA67" i="1" l="1"/>
  <c r="AD64" i="1"/>
  <c r="AD67" i="1"/>
  <c r="Z62" i="1"/>
  <c r="AD62" i="1" s="1"/>
  <c r="AD63" i="1"/>
  <c r="Z61" i="1"/>
  <c r="AD61" i="1" s="1"/>
  <c r="AA64" i="1"/>
  <c r="Z68" i="1"/>
  <c r="AD68" i="1" s="1"/>
  <c r="Z65" i="1"/>
  <c r="AD65" i="1" s="1"/>
  <c r="Z70" i="1"/>
  <c r="AD70" i="1" s="1"/>
  <c r="Z66" i="1"/>
  <c r="AD66" i="1" s="1"/>
  <c r="AA63" i="1"/>
  <c r="AA69" i="1"/>
  <c r="AD69" i="1"/>
  <c r="Z60" i="1"/>
  <c r="AD60" i="1" s="1"/>
  <c r="AA60" i="1"/>
  <c r="U11" i="1" l="1"/>
  <c r="I11" i="1" l="1"/>
  <c r="J11" i="1" s="1"/>
  <c r="L30" i="1"/>
  <c r="L34" i="1"/>
  <c r="L32" i="1"/>
  <c r="L31" i="1"/>
  <c r="L33" i="1"/>
  <c r="G225" i="13" l="1"/>
  <c r="G215" i="13"/>
  <c r="G216" i="13"/>
  <c r="G217" i="13"/>
  <c r="G218" i="13"/>
  <c r="G219" i="13"/>
  <c r="G220" i="13"/>
  <c r="G221" i="13"/>
  <c r="G222" i="13"/>
  <c r="G223" i="13"/>
  <c r="G224" i="13"/>
  <c r="G214" i="13"/>
  <c r="L16" i="1"/>
  <c r="L15" i="1"/>
  <c r="L12" i="1"/>
  <c r="L13" i="1"/>
  <c r="B225" i="13" a="1"/>
  <c r="L14" i="1"/>
  <c r="B225" i="13" l="1"/>
  <c r="L77" i="1" l="1"/>
  <c r="M77" i="1" s="1"/>
  <c r="L71" i="1"/>
  <c r="M71" i="1" s="1"/>
  <c r="L47" i="1"/>
  <c r="M47" i="1" s="1"/>
  <c r="L41" i="1"/>
  <c r="M41"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I214" i="13"/>
  <c r="N77" i="1" l="1"/>
  <c r="O77" i="1"/>
  <c r="O41" i="1"/>
  <c r="N41" i="1"/>
  <c r="AC41" i="1" s="1"/>
  <c r="AB41" i="1" s="1"/>
  <c r="AD41" i="1" s="1"/>
  <c r="N47" i="1"/>
  <c r="AC47" i="1" s="1"/>
  <c r="AB47" i="1" s="1"/>
  <c r="AD47" i="1" s="1"/>
  <c r="O47" i="1"/>
  <c r="N71" i="1"/>
  <c r="O71" i="1"/>
  <c r="I17" i="1"/>
  <c r="I23" i="1"/>
  <c r="I53" i="1"/>
  <c r="I29" i="1"/>
  <c r="R16" i="1"/>
  <c r="R15" i="1"/>
  <c r="U34" i="1"/>
  <c r="R34" i="1"/>
  <c r="U33" i="1"/>
  <c r="R33" i="1"/>
  <c r="U32" i="1"/>
  <c r="R32" i="1"/>
  <c r="U31" i="1"/>
  <c r="R31" i="1"/>
  <c r="U30" i="1"/>
  <c r="R30" i="1"/>
  <c r="J17" i="1" l="1"/>
  <c r="O17" i="1"/>
  <c r="J23" i="1"/>
  <c r="O23" i="1"/>
  <c r="J53" i="1"/>
  <c r="Y53" i="1" s="1"/>
  <c r="O53" i="1"/>
  <c r="J29" i="1"/>
  <c r="Y29" i="1" s="1"/>
  <c r="AA53" i="1" l="1"/>
  <c r="Y54" i="1" s="1"/>
  <c r="Z53" i="1"/>
  <c r="AD53" i="1" s="1"/>
  <c r="Z29" i="1"/>
  <c r="AA29" i="1"/>
  <c r="Y30" i="1"/>
  <c r="AA54" i="1" l="1"/>
  <c r="Z54" i="1"/>
  <c r="AD54"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U15" i="1"/>
  <c r="U16" i="1"/>
  <c r="Z30" i="1" l="1"/>
  <c r="AA30" i="1"/>
  <c r="Y31" i="1" s="1"/>
  <c r="Z31" i="1" s="1"/>
  <c r="AA31" i="1" l="1"/>
  <c r="Y32" i="1" s="1"/>
  <c r="Z32" i="1" s="1"/>
  <c r="AA32" i="1" l="1"/>
  <c r="Y33" i="1" s="1"/>
  <c r="AA33" i="1" s="1"/>
  <c r="Y34" i="1" s="1"/>
  <c r="Y11" i="1"/>
  <c r="Z11" i="1" s="1"/>
  <c r="Z33" i="1" l="1"/>
  <c r="Z34" i="1"/>
  <c r="AA34" i="1"/>
  <c r="AA11" i="1" l="1"/>
  <c r="Y15" i="1" l="1"/>
  <c r="Z15" i="1" s="1"/>
  <c r="AA15" i="1" l="1"/>
  <c r="Y16" i="1" s="1"/>
  <c r="Z16" i="1" s="1"/>
  <c r="AA16" i="1" l="1"/>
  <c r="AC30" i="1" l="1"/>
  <c r="AC31" i="1" s="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0" i="1" l="1"/>
  <c r="W27" i="19"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32" i="1"/>
  <c r="AB3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5"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AD30" i="1"/>
  <c r="W7" i="19"/>
  <c r="Q47" i="19"/>
  <c r="Q37" i="19"/>
  <c r="AC47" i="19"/>
  <c r="W17" i="19"/>
  <c r="AB15" i="1"/>
  <c r="AC16" i="1"/>
  <c r="AB16"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AD31" i="1"/>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B32" i="1"/>
  <c r="AC3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D3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D16" i="1"/>
  <c r="AA6" i="19"/>
  <c r="AG6" i="19"/>
  <c r="AA46" i="19"/>
  <c r="AM26" i="19"/>
  <c r="U16" i="19"/>
  <c r="O36" i="19"/>
  <c r="U26" i="19"/>
  <c r="O46" i="19"/>
  <c r="AA26" i="19"/>
  <c r="AM6" i="19"/>
  <c r="U46" i="19"/>
  <c r="AG26" i="19"/>
  <c r="O16" i="19"/>
  <c r="AG36" i="19"/>
  <c r="O26" i="19"/>
  <c r="AM36" i="19"/>
  <c r="AC34" i="1"/>
  <c r="AB34" i="1" s="1"/>
  <c r="AB33" i="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D15"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D3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D34"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6" i="19" l="1"/>
  <c r="AI16" i="19"/>
  <c r="Q36" i="19"/>
  <c r="W6" i="19"/>
  <c r="W26" i="19"/>
  <c r="K26" i="19"/>
  <c r="W46" i="19"/>
  <c r="AI36" i="19"/>
  <c r="AI26" i="19"/>
  <c r="AC6" i="19"/>
  <c r="Q46" i="19"/>
  <c r="AC16" i="19"/>
  <c r="W36" i="19"/>
  <c r="AC36" i="19"/>
  <c r="K16" i="19"/>
  <c r="AC26" i="19"/>
  <c r="K46" i="19"/>
  <c r="AI46" i="19"/>
  <c r="AC46" i="19"/>
  <c r="Q6" i="19"/>
  <c r="W16" i="19"/>
  <c r="K36" i="19"/>
  <c r="Q26" i="19"/>
  <c r="K6" i="19"/>
  <c r="Q16" i="19"/>
  <c r="L65" i="1" l="1"/>
  <c r="M65" i="1" s="1"/>
  <c r="L11" i="1"/>
  <c r="M11" i="1" s="1"/>
  <c r="L59" i="1"/>
  <c r="M59" i="1" s="1"/>
  <c r="L29" i="1"/>
  <c r="M29" i="1" s="1"/>
  <c r="AF40" i="18" l="1"/>
  <c r="N8" i="18"/>
  <c r="T24" i="18"/>
  <c r="AL8" i="18"/>
  <c r="Z8" i="18"/>
  <c r="AF16" i="18"/>
  <c r="AL24" i="18"/>
  <c r="N24" i="18"/>
  <c r="AL32" i="18"/>
  <c r="AF24" i="18"/>
  <c r="AL40" i="18"/>
  <c r="AF8" i="18"/>
  <c r="Z32" i="18"/>
  <c r="N40" i="18"/>
  <c r="T40" i="18"/>
  <c r="T8" i="18"/>
  <c r="T32" i="18"/>
  <c r="Z24" i="18"/>
  <c r="AF32" i="18"/>
  <c r="Z16" i="18"/>
  <c r="N32" i="18"/>
  <c r="AL16" i="18"/>
  <c r="T16" i="18"/>
  <c r="Z40" i="18"/>
  <c r="N16" i="18"/>
  <c r="AJ10" i="18"/>
  <c r="L34" i="18"/>
  <c r="X34" i="18"/>
  <c r="L10" i="18"/>
  <c r="AJ42" i="18"/>
  <c r="R34" i="18"/>
  <c r="AJ18" i="18"/>
  <c r="AD18" i="18"/>
  <c r="X18" i="18"/>
  <c r="AD42" i="18"/>
  <c r="L18" i="18"/>
  <c r="AD26" i="18"/>
  <c r="X42" i="18"/>
  <c r="L42" i="18"/>
  <c r="X26" i="18"/>
  <c r="R18" i="18"/>
  <c r="R26" i="18"/>
  <c r="AJ26" i="18"/>
  <c r="AJ34" i="18"/>
  <c r="R10" i="18"/>
  <c r="R42" i="18"/>
  <c r="X10" i="18"/>
  <c r="AD34" i="18"/>
  <c r="L26" i="18"/>
  <c r="AD10" i="18"/>
  <c r="AD30" i="18"/>
  <c r="L38" i="18"/>
  <c r="AJ30" i="18"/>
  <c r="L22" i="18"/>
  <c r="AD38" i="18"/>
  <c r="L30" i="18"/>
  <c r="AJ6" i="18"/>
  <c r="X6" i="18"/>
  <c r="X22" i="18"/>
  <c r="R14" i="18"/>
  <c r="AJ38" i="18"/>
  <c r="AD14" i="18"/>
  <c r="R22" i="18"/>
  <c r="L6" i="18"/>
  <c r="AD22" i="18"/>
  <c r="R38" i="18"/>
  <c r="AD6" i="18"/>
  <c r="X30" i="18"/>
  <c r="L14" i="18"/>
  <c r="AJ22" i="18"/>
  <c r="X14" i="18"/>
  <c r="O29" i="1"/>
  <c r="R30" i="18"/>
  <c r="N29" i="1"/>
  <c r="AC29" i="1" s="1"/>
  <c r="AB29" i="1" s="1"/>
  <c r="AD29" i="1" s="1"/>
  <c r="AJ14" i="18"/>
  <c r="R6" i="18"/>
  <c r="X38" i="18"/>
  <c r="V6" i="18"/>
  <c r="AB38" i="18"/>
  <c r="AB22" i="18"/>
  <c r="AH38" i="18"/>
  <c r="AH30" i="18"/>
  <c r="AB6" i="18"/>
  <c r="V38" i="18"/>
  <c r="P30" i="18"/>
  <c r="P14" i="18"/>
  <c r="AB14" i="18"/>
  <c r="J14" i="18"/>
  <c r="O11" i="1"/>
  <c r="J6" i="18"/>
  <c r="J38" i="18"/>
  <c r="P6" i="18"/>
  <c r="V22" i="18"/>
  <c r="J22" i="18"/>
  <c r="V30" i="18"/>
  <c r="J30" i="18"/>
  <c r="AH22" i="18"/>
  <c r="AH6" i="18"/>
  <c r="P22" i="18"/>
  <c r="V14" i="18"/>
  <c r="N11" i="1"/>
  <c r="AC11" i="1" s="1"/>
  <c r="AB11" i="1" s="1"/>
  <c r="P38" i="18"/>
  <c r="AB30" i="18"/>
  <c r="AH14" i="18"/>
  <c r="Z22" i="18"/>
  <c r="Z38" i="18"/>
  <c r="AL38" i="18"/>
  <c r="T38" i="18"/>
  <c r="AF22" i="18"/>
  <c r="AL22" i="18"/>
  <c r="T30" i="18"/>
  <c r="AF14" i="18"/>
  <c r="N14" i="18"/>
  <c r="T22" i="18"/>
  <c r="N6" i="18"/>
  <c r="N30" i="18"/>
  <c r="T6" i="18"/>
  <c r="AL6" i="18"/>
  <c r="Z6" i="18"/>
  <c r="AL14" i="18"/>
  <c r="AF6" i="18"/>
  <c r="N38" i="18"/>
  <c r="Z30" i="18"/>
  <c r="AL30" i="18"/>
  <c r="AF30" i="18"/>
  <c r="N22" i="18"/>
  <c r="AF38" i="18"/>
  <c r="T14" i="18"/>
  <c r="Z14" i="18"/>
  <c r="AH10" i="18"/>
  <c r="AB26" i="18"/>
  <c r="P10" i="18"/>
  <c r="AH26" i="18"/>
  <c r="J10" i="18"/>
  <c r="AB10" i="18"/>
  <c r="P26" i="18"/>
  <c r="J42" i="18"/>
  <c r="V26" i="18"/>
  <c r="V34" i="18"/>
  <c r="AB42" i="18"/>
  <c r="J26" i="18"/>
  <c r="J18" i="18"/>
  <c r="V42" i="18"/>
  <c r="P34" i="18"/>
  <c r="V18" i="18"/>
  <c r="P42" i="18"/>
  <c r="AH18" i="18"/>
  <c r="P18" i="18"/>
  <c r="V10" i="18"/>
  <c r="J34" i="18"/>
  <c r="AH34" i="18"/>
  <c r="AB18" i="18"/>
  <c r="AB34" i="18"/>
  <c r="AH42" i="18"/>
  <c r="J8" i="18"/>
  <c r="J32" i="18"/>
  <c r="V40" i="18"/>
  <c r="AB24" i="18"/>
  <c r="V24" i="18"/>
  <c r="V32" i="18"/>
  <c r="AH24" i="18"/>
  <c r="P16" i="18"/>
  <c r="AB32" i="18"/>
  <c r="P8" i="18"/>
  <c r="J40" i="18"/>
  <c r="V16" i="18"/>
  <c r="P24" i="18"/>
  <c r="AB16" i="18"/>
  <c r="AH8" i="18"/>
  <c r="AB40" i="18"/>
  <c r="AH40" i="18"/>
  <c r="AB8" i="18"/>
  <c r="J16" i="18"/>
  <c r="AH16" i="18"/>
  <c r="AH32" i="18"/>
  <c r="P32" i="18"/>
  <c r="J24" i="18"/>
  <c r="V8" i="18"/>
  <c r="P40" i="18"/>
  <c r="L40" i="18"/>
  <c r="AD40" i="18"/>
  <c r="R24" i="18"/>
  <c r="AJ24" i="18"/>
  <c r="AJ32" i="18"/>
  <c r="L32" i="18"/>
  <c r="AJ8" i="18"/>
  <c r="AD32" i="18"/>
  <c r="AD24" i="18"/>
  <c r="X16" i="18"/>
  <c r="L24" i="18"/>
  <c r="L8" i="18"/>
  <c r="R32" i="18"/>
  <c r="X40" i="18"/>
  <c r="X8" i="18"/>
  <c r="R40" i="18"/>
  <c r="L16" i="18"/>
  <c r="X32" i="18"/>
  <c r="AD16" i="18"/>
  <c r="AD8" i="18"/>
  <c r="AJ16" i="18"/>
  <c r="X24" i="18"/>
  <c r="R16" i="18"/>
  <c r="AJ40" i="18"/>
  <c r="R8" i="18"/>
  <c r="N59" i="1"/>
  <c r="T26" i="18"/>
  <c r="AF26" i="18"/>
  <c r="Z10" i="18"/>
  <c r="Z34" i="18"/>
  <c r="AL34" i="18"/>
  <c r="AL10" i="18"/>
  <c r="Z18" i="18"/>
  <c r="T10" i="18"/>
  <c r="N26" i="18"/>
  <c r="Z42" i="18"/>
  <c r="N42" i="18"/>
  <c r="AF18" i="18"/>
  <c r="AL18" i="18"/>
  <c r="N34" i="18"/>
  <c r="AL42" i="18"/>
  <c r="AL26" i="18"/>
  <c r="T18" i="18"/>
  <c r="AF34" i="18"/>
  <c r="Z26" i="18"/>
  <c r="O59" i="1"/>
  <c r="T42" i="18"/>
  <c r="AF42" i="18"/>
  <c r="T34" i="18"/>
  <c r="N18" i="18"/>
  <c r="AF10" i="18"/>
  <c r="N10" i="18"/>
  <c r="N65" i="1"/>
  <c r="AH44" i="18"/>
  <c r="J28" i="18"/>
  <c r="J44" i="18"/>
  <c r="P12" i="18"/>
  <c r="AH28" i="18"/>
  <c r="V44" i="18"/>
  <c r="V28" i="18"/>
  <c r="J20" i="18"/>
  <c r="O65" i="1"/>
  <c r="V12" i="18"/>
  <c r="AB20" i="18"/>
  <c r="AB28" i="18"/>
  <c r="P28" i="18"/>
  <c r="AH36" i="18"/>
  <c r="P20" i="18"/>
  <c r="V20" i="18"/>
  <c r="AB12" i="18"/>
  <c r="P36" i="18"/>
  <c r="V36" i="18"/>
  <c r="AB36" i="18"/>
  <c r="AH12" i="18"/>
  <c r="P44" i="18"/>
  <c r="AH20" i="18"/>
  <c r="J36" i="18"/>
  <c r="J12" i="18"/>
  <c r="AB44" i="18"/>
  <c r="V24" i="19" l="1"/>
  <c r="AB24" i="19"/>
  <c r="AH34" i="19"/>
  <c r="V34" i="19"/>
  <c r="P24" i="19"/>
  <c r="J44" i="19"/>
  <c r="P44" i="19"/>
  <c r="AB14" i="19"/>
  <c r="AH24" i="19"/>
  <c r="J34" i="19"/>
  <c r="J54" i="19"/>
  <c r="AH14" i="19"/>
  <c r="P34" i="19"/>
  <c r="V14" i="19"/>
  <c r="AB44" i="19"/>
  <c r="P14" i="19"/>
  <c r="AH54" i="19"/>
  <c r="AB34" i="19"/>
  <c r="P54" i="19"/>
  <c r="J14" i="19"/>
  <c r="J24" i="19"/>
  <c r="AH44" i="19"/>
  <c r="V54" i="19"/>
  <c r="V44" i="19"/>
  <c r="AB54" i="19"/>
  <c r="AH20" i="19"/>
  <c r="P10" i="19"/>
  <c r="P30" i="19"/>
  <c r="AH30" i="19"/>
  <c r="AH50" i="19"/>
  <c r="P40" i="19"/>
  <c r="J30" i="19"/>
  <c r="AB50" i="19"/>
  <c r="V50" i="19"/>
  <c r="AH40" i="19"/>
  <c r="V10" i="19"/>
  <c r="V40" i="19"/>
  <c r="J40" i="19"/>
  <c r="V20" i="19"/>
  <c r="J50" i="19"/>
  <c r="P50" i="19"/>
  <c r="J10" i="19"/>
  <c r="P20" i="19"/>
  <c r="AB30" i="19"/>
  <c r="V30" i="19"/>
  <c r="AH10" i="19"/>
  <c r="AB40" i="19"/>
  <c r="AB10" i="19"/>
  <c r="AB20" i="19"/>
  <c r="J20" i="19"/>
  <c r="AB28" i="19"/>
  <c r="V38" i="19"/>
  <c r="AH28" i="19"/>
  <c r="AB38" i="19"/>
  <c r="V48" i="19"/>
  <c r="P8" i="19"/>
  <c r="V8" i="19"/>
  <c r="V18" i="19"/>
  <c r="P38" i="19"/>
  <c r="AH38" i="19"/>
  <c r="P48" i="19"/>
  <c r="AB18" i="19"/>
  <c r="J8" i="19"/>
  <c r="J18" i="19"/>
  <c r="AB48" i="19"/>
  <c r="AH48" i="19"/>
  <c r="AH18" i="19"/>
  <c r="J38" i="19"/>
  <c r="P18" i="19"/>
  <c r="J28" i="19"/>
  <c r="P28" i="19"/>
  <c r="J48" i="19"/>
  <c r="V28" i="19"/>
  <c r="AB8" i="19"/>
  <c r="AH8" i="19"/>
  <c r="J47" i="19"/>
  <c r="P47" i="19"/>
  <c r="P17" i="19"/>
  <c r="AB17" i="19"/>
  <c r="V27" i="19"/>
  <c r="J7" i="19"/>
  <c r="AH37" i="19"/>
  <c r="V47" i="19"/>
  <c r="AB27" i="19"/>
  <c r="AH7" i="19"/>
  <c r="V37" i="19"/>
  <c r="P27" i="19"/>
  <c r="J37" i="19"/>
  <c r="J27" i="19"/>
  <c r="P7" i="19"/>
  <c r="V7" i="19"/>
  <c r="J17" i="19"/>
  <c r="AH27" i="19"/>
  <c r="AB7" i="19"/>
  <c r="AH17" i="19"/>
  <c r="AH47" i="19"/>
  <c r="AB37" i="19"/>
  <c r="AB47" i="19"/>
  <c r="P37" i="19"/>
  <c r="V17" i="19"/>
  <c r="AH49" i="19"/>
  <c r="V39" i="19"/>
  <c r="J19" i="19"/>
  <c r="AB29" i="19"/>
  <c r="V49" i="19"/>
  <c r="AH29" i="19"/>
  <c r="P9" i="19"/>
  <c r="P29" i="19"/>
  <c r="V19" i="19"/>
  <c r="AB9" i="19"/>
  <c r="P39" i="19"/>
  <c r="V9" i="19"/>
  <c r="V29" i="19"/>
  <c r="P49" i="19"/>
  <c r="AH39" i="19"/>
  <c r="AB19" i="19"/>
  <c r="J39" i="19"/>
  <c r="AH9" i="19"/>
  <c r="J49" i="19"/>
  <c r="J9" i="19"/>
  <c r="AB39" i="19"/>
  <c r="J29" i="19"/>
  <c r="AB49" i="19"/>
  <c r="P19" i="19"/>
  <c r="AH19" i="19"/>
  <c r="V22" i="19"/>
  <c r="V12" i="19"/>
  <c r="AB12" i="19"/>
  <c r="V42" i="19"/>
  <c r="AH42" i="19"/>
  <c r="AH22" i="19"/>
  <c r="P22" i="19"/>
  <c r="J22" i="19"/>
  <c r="P52" i="19"/>
  <c r="P32" i="19"/>
  <c r="V32" i="19"/>
  <c r="P12" i="19"/>
  <c r="AH32" i="19"/>
  <c r="J42" i="19"/>
  <c r="AH12" i="19"/>
  <c r="AB42" i="19"/>
  <c r="AH52" i="19"/>
  <c r="AB32" i="19"/>
  <c r="J32" i="19"/>
  <c r="AB52" i="19"/>
  <c r="J12" i="19"/>
  <c r="AB22" i="19"/>
  <c r="P42" i="19"/>
  <c r="J52" i="19"/>
  <c r="V52" i="19"/>
  <c r="AB16" i="19"/>
  <c r="AH36" i="19"/>
  <c r="AD11" i="1"/>
  <c r="J36" i="19"/>
  <c r="V6" i="19"/>
  <c r="AH6" i="19"/>
  <c r="AB26" i="19"/>
  <c r="AH26" i="19"/>
  <c r="P26" i="19"/>
  <c r="AB36" i="19"/>
  <c r="AH46" i="19"/>
  <c r="J46" i="19"/>
  <c r="V46" i="19"/>
  <c r="AB46" i="19"/>
  <c r="J16" i="19"/>
  <c r="V16" i="19"/>
  <c r="AB6" i="19"/>
  <c r="AH16" i="19"/>
  <c r="P16" i="19"/>
  <c r="J6" i="19"/>
  <c r="V26" i="19"/>
  <c r="V36" i="19"/>
  <c r="P36" i="19"/>
  <c r="J26" i="19"/>
  <c r="P6" i="19"/>
  <c r="P46" i="19"/>
  <c r="AB33" i="19"/>
  <c r="AB43" i="19"/>
  <c r="P13" i="19"/>
  <c r="AH43" i="19"/>
  <c r="J13" i="19"/>
  <c r="AH33" i="19"/>
  <c r="AB13" i="19"/>
  <c r="AH23" i="19"/>
  <c r="V23" i="19"/>
  <c r="J33" i="19"/>
  <c r="V13" i="19"/>
  <c r="P43" i="19"/>
  <c r="J43" i="19"/>
  <c r="AH13" i="19"/>
  <c r="P33" i="19"/>
  <c r="AB23" i="19"/>
  <c r="AB53" i="19"/>
  <c r="P53" i="19"/>
  <c r="AH53" i="19"/>
  <c r="J23" i="19"/>
  <c r="V33" i="19"/>
  <c r="J53" i="19"/>
  <c r="V43" i="19"/>
  <c r="V53" i="19"/>
  <c r="P23" i="19"/>
  <c r="V11" i="19"/>
  <c r="AB41" i="19"/>
  <c r="J21" i="19"/>
  <c r="V41" i="19"/>
  <c r="P51" i="19"/>
  <c r="J51" i="19"/>
  <c r="P11" i="19"/>
  <c r="P31" i="19"/>
  <c r="AB21" i="19"/>
  <c r="AB31" i="19"/>
  <c r="V31" i="19"/>
  <c r="V21" i="19"/>
  <c r="AH51" i="19"/>
  <c r="AH41" i="19"/>
  <c r="AB51" i="19"/>
  <c r="AH21" i="19"/>
  <c r="AH31" i="19"/>
  <c r="AH11" i="19"/>
  <c r="J11" i="19"/>
  <c r="J31" i="19"/>
  <c r="P41" i="19"/>
  <c r="P21" i="19"/>
  <c r="AB11" i="19"/>
  <c r="V51" i="19"/>
  <c r="J41" i="19"/>
  <c r="B227" i="13"/>
  <c r="B226"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<sst xmlns="http://schemas.openxmlformats.org/spreadsheetml/2006/main" count="612" uniqueCount="391">
  <si>
    <t>Matriz Mapa Riesgos Fiscales</t>
  </si>
  <si>
    <t>Matriz Mapa de Riesgos Fiscales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</si>
  <si>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en entidades públicas, versión 6 – noviembre 2022 de la Función Pública</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</si>
  <si>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</si>
  <si>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</si>
  <si>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</si>
  <si>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 xml:space="preserve"> -  Hoja 2 Mapa de Riesgos Final: Encontrará la totalidad de la estructura para la identificación y valoración de los riesgos fiscales por proceso, programa o proyecto, acorde con el nivel de desagregación que la entidad considere necesaria.</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</si>
  <si>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</si>
  <si>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</si>
  <si>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</si>
  <si>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</si>
  <si>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</si>
  <si>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</si>
  <si>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</si>
  <si>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</si>
  <si>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</si>
  <si>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</si>
  <si>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</si>
  <si>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</si>
  <si>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Circunstancia Inmediata</t>
  </si>
  <si>
    <t>Situación o actividad por la que se presenta el riesgo, pero no constituye la causa principal o básica (causa raíz) del riesgo fiscal. Anexo 1. Catálogo Indicativo y Enunciativo de Puntos de riesgo fiscal y Circunstancias Inmediatas.</t>
  </si>
  <si>
    <t>Causa Raíz</t>
  </si>
  <si>
    <t>Causa Raíz (Causa Eficiente o Causa Adecuada): Es el evento (acción u omisión) que de presentarse es generador directo de un efecto dañoso sobre los bienes, recursos o intereses patrimoniales de naturaleza pública. Es la condición necesaria, de tal forma que, si ese hecho no se produce, el daño no se genera. Así las cosas, la causa raíz se asocia con aquel hecho potencial generador del daño.</t>
  </si>
  <si>
    <t>Descripción del Riesgo</t>
  </si>
  <si>
    <r>
      <t xml:space="preserve">Consolida o resume los análisis sobre impacto + circunstancia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Circunstancia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</si>
  <si>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</si>
  <si>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</si>
  <si>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</si>
  <si>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</si>
  <si>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</si>
  <si>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</si>
  <si>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</si>
  <si>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</si>
  <si>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</si>
  <si>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</si>
  <si>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</si>
  <si>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</si>
  <si>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</si>
  <si>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</si>
  <si>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</si>
  <si>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</si>
  <si>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</si>
  <si>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</si>
  <si>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</si>
  <si>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</si>
  <si>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</si>
  <si>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</si>
  <si>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</si>
  <si>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</si>
  <si>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</si>
  <si>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</si>
  <si>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</si>
  <si>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</si>
  <si>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</si>
  <si>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</si>
  <si>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</si>
  <si>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</si>
  <si>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</si>
  <si>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</si>
  <si>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</si>
  <si>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</si>
  <si>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</si>
  <si>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Anexo 1. Catálogo Indicativo y Enunciativo de Puntos de riesgo fiscal y Circunstancias Inmediatas.</t>
    </r>
  </si>
  <si>
    <t>Objetivo:</t>
  </si>
  <si>
    <t>Alcance:</t>
  </si>
  <si>
    <t>Identificación del riesgo</t>
  </si>
  <si>
    <t>Análisis del riesgo inherente</t>
  </si>
  <si>
    <t>Evaluación del riesgo - Valoración de los controles</t>
  </si>
  <si>
    <t>Evaluación del riesgo - Nivel del riesgo residual</t>
  </si>
  <si>
    <t>Plan de Acción</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</si>
  <si>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</si>
  <si>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</si>
  <si>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</si>
  <si>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</si>
  <si>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</si>
  <si>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</si>
  <si>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</si>
  <si>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</si>
  <si>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</si>
  <si>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</si>
  <si>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</si>
  <si>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</si>
  <si>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</si>
  <si>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</si>
  <si>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</si>
  <si>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</si>
  <si>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</si>
  <si>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</si>
  <si>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</si>
  <si>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</si>
  <si>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</si>
  <si>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</si>
  <si>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</si>
  <si>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t>
  </si>
  <si>
    <t>Ejecución de un alcance inferior al contratado y pago total del contrato</t>
  </si>
  <si>
    <t>Deficiencias en  las funciones de Supervisión e Interventoría de los contratos de la Entidad</t>
  </si>
  <si>
    <t>Posibilidad de efecto dañoso sobre recursos públicos por la ejecución de un alcance inferior al contratado y pago total del contrato, a causa de las deficiencias en las funciones de Supervisión e Interventoría de los contratos de la Entidad</t>
  </si>
  <si>
    <t>Ejecucion y Administracion de procesos</t>
  </si>
  <si>
    <t xml:space="preserve">     Entre 100 y 500 SMLMV </t>
  </si>
  <si>
    <t>El supervisor designado ejercerá el control y seguimiento a la ejecución contractual para verificar el cumplimiento de las condiciones y especificaciones técnicas pactadas y establecidas en la etapa precontractual, de acuerdo a las normas vigentes.</t>
  </si>
  <si>
    <t>Preventivo</t>
  </si>
  <si>
    <t>Manual</t>
  </si>
  <si>
    <t>Documentado</t>
  </si>
  <si>
    <t>Continua</t>
  </si>
  <si>
    <t>Con Registro</t>
  </si>
  <si>
    <t>Reducir (mitigar)</t>
  </si>
  <si>
    <t xml:space="preserve">Supervisores designados </t>
  </si>
  <si>
    <t xml:space="preserve">No inclusión en el contrato de seguros -amparo de bienes de la entidad- todos los bienes muebles e inmuebles de la entidad </t>
  </si>
  <si>
    <t>Profesional encargado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</si>
  <si>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</si>
  <si>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</si>
  <si>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</si>
  <si>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</si>
  <si>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</si>
  <si>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</si>
  <si>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</si>
  <si>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</si>
  <si>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</si>
  <si>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</si>
  <si>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</si>
  <si>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</si>
  <si>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</si>
  <si>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</si>
  <si>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</si>
  <si>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</si>
  <si>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</si>
  <si>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</si>
  <si>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</si>
  <si>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</si>
  <si>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</si>
  <si>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</si>
  <si>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</si>
  <si>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</si>
  <si>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</si>
  <si>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</si>
  <si>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</si>
  <si>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</si>
  <si>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</si>
  <si>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</si>
  <si>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</si>
  <si>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Insignificante</t>
  </si>
  <si>
    <t>Leve 20%</t>
  </si>
  <si>
    <t xml:space="preserve">Afectación menor a 10 SMLMV </t>
  </si>
  <si>
    <t>Menor</t>
  </si>
  <si>
    <t xml:space="preserve">Menor-40% </t>
  </si>
  <si>
    <t xml:space="preserve">Entre 10 y 50 SMLMV </t>
  </si>
  <si>
    <t>Moderado 60%</t>
  </si>
  <si>
    <t xml:space="preserve">Entre 50 y 100 SMLMV </t>
  </si>
  <si>
    <t>Mayor</t>
  </si>
  <si>
    <t>Mayor 80%</t>
  </si>
  <si>
    <t xml:space="preserve">Entre 100 y 500 SMLMV </t>
  </si>
  <si>
    <t>Catastrófico</t>
  </si>
  <si>
    <t>Catastrófico 100%</t>
  </si>
  <si>
    <t xml:space="preserve">Mayor a 500 SMLMV </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</si>
  <si>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</si>
  <si>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</si>
  <si>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</si>
  <si>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</si>
  <si>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</si>
  <si>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</si>
  <si>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</si>
  <si>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</si>
  <si>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</si>
  <si>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</si>
  <si>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</si>
  <si>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</si>
  <si>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</si>
  <si>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</si>
  <si>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</si>
  <si>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</si>
  <si>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</si>
  <si>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</si>
  <si>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</si>
  <si>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</si>
  <si>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</si>
  <si>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</si>
  <si>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</si>
  <si>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</si>
  <si>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</si>
  <si>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</si>
  <si>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</si>
  <si>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</si>
  <si>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</si>
  <si>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</si>
  <si>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</si>
  <si>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</si>
  <si>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</si>
  <si>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</si>
  <si>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</si>
  <si>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</si>
  <si>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</si>
  <si>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</si>
  <si>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</si>
  <si>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</si>
  <si>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</si>
  <si>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</si>
  <si>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</si>
  <si>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</si>
  <si>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</si>
  <si>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</si>
  <si>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</si>
  <si>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</si>
  <si>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t xml:space="preserve">Página: </t>
    </r>
    <r>
      <rPr>
        <sz val="11"/>
        <rFont val="Arial"/>
        <family val="2"/>
      </rPr>
      <t xml:space="preserve">8 de 8 </t>
    </r>
  </si>
  <si>
    <t>ANEXO 1
CAPÍTULO: Identificación y valoración de Riesgos Fiscales y Diseño de Controles para su Prevención y Mitigación</t>
  </si>
  <si>
    <t>Dirección de Gestión y Desempeño Institucional
Bogotá D.C.
Noviembre 2022</t>
  </si>
  <si>
    <t>CATÁLOGO INDICATIVO Y ENUNCIATIVO DE PUNTOS DE RIESGO FISCAL Y 
CIRCUNSTANCIAS INMEDIATAS
(Anexo 1)</t>
  </si>
  <si>
    <r>
      <rPr>
        <b/>
        <sz val="11"/>
        <color theme="1"/>
        <rFont val="Arial Narrow"/>
        <family val="2"/>
      </rPr>
      <t xml:space="preserve">Introducción </t>
    </r>
    <r>
      <rPr>
        <sz val="11"/>
        <color theme="1"/>
        <rFont val="Arial Narrow"/>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t>
    </r>
  </si>
  <si>
    <t>Id Referencia</t>
  </si>
  <si>
    <t>Puntos de Riesgo Fiscal</t>
  </si>
  <si>
    <t>Actividad en la que potencialmente se origina el riesgo fiscal</t>
  </si>
  <si>
    <r>
      <t xml:space="preserve">Situación </t>
    </r>
    <r>
      <rPr>
        <b/>
        <i/>
        <u/>
        <sz val="10"/>
        <color rgb="FF000000"/>
        <rFont val="Arial Narrow"/>
        <family val="2"/>
      </rPr>
      <t>por la que</t>
    </r>
    <r>
      <rPr>
        <i/>
        <sz val="10"/>
        <color rgb="FF000000"/>
        <rFont val="Arial Narrow"/>
        <family val="2"/>
      </rPr>
      <t xml:space="preserve"> se presenta el riesgo</t>
    </r>
  </si>
  <si>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</si>
  <si>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</si>
  <si>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</si>
  <si>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</si>
  <si>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 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</si>
  <si>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</si>
  <si>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</si>
  <si>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</si>
  <si>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</si>
  <si>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</si>
  <si>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</si>
  <si>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</si>
  <si>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</si>
  <si>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</si>
  <si>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</si>
  <si>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</si>
  <si>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</si>
  <si>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</si>
  <si>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</si>
  <si>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</si>
  <si>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</si>
  <si>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</si>
  <si>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</si>
  <si>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</si>
  <si>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</si>
  <si>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</si>
  <si>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</si>
  <si>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</si>
  <si>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</si>
  <si>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</si>
  <si>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</si>
  <si>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</si>
  <si>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</si>
  <si>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</si>
  <si>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</si>
  <si>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</si>
  <si>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</si>
  <si>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</si>
  <si>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</si>
  <si>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</si>
  <si>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</si>
  <si>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</si>
  <si>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</si>
  <si>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</si>
  <si>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</si>
  <si>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</si>
  <si>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</si>
  <si>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</si>
  <si>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</si>
  <si>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</si>
  <si>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</si>
  <si>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</si>
  <si>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</si>
  <si>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</si>
  <si>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</si>
  <si>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</si>
  <si>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</si>
  <si>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</si>
  <si>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</si>
  <si>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</si>
  <si>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</si>
  <si>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</si>
  <si>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</si>
  <si>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</si>
  <si>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</si>
  <si>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</si>
  <si>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</si>
  <si>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</si>
  <si>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</si>
  <si>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</si>
  <si>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</si>
  <si>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</si>
  <si>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</si>
  <si>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</si>
  <si>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</si>
  <si>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</si>
  <si>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</si>
  <si>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</si>
  <si>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</si>
  <si>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</si>
  <si>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</si>
  <si>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</si>
  <si>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</si>
  <si>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</si>
  <si>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</si>
  <si>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</si>
  <si>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</si>
  <si>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</si>
  <si>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</si>
  <si>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</si>
  <si>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</si>
  <si>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</si>
  <si>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</si>
  <si>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t xml:space="preserve">Fuente: Elaboración Dirección de Gestión y Desempeño Institucional. 2022 </t>
  </si>
  <si>
    <t>Este catálogo indicativo y enunciativo de puntos de riesgo fiscal y circunstancias Inmediatas, es el resultado del análisis de investigaciones previas y del estudio detallado de información sobre:
(i) Fallos con responsabilidad fiscal, en firme, emitidos en los últimos 3 años, por una muestra de 10 de las contralorías territoriales mejor calificadas en 2020, según el criterio de desempeño integral, el cual corresponde a evaluación realizada por la Auditoría General de la República. 
(ii) Muestra aleatoria de fallos con responsabilidad fiscal, en firme, emitidos por la Contraloría General de la República en los últimos 3 años.
(iii) Listado de hallazgos fiscales por temáticas, consolidado por la Auditoría General de la República, 2021.</t>
  </si>
  <si>
    <t>Carrera 6 No. 12-62, Bogotá, D.C., Colombia ● Teléfono: 601 7395656 ● Fax: 601 7395657 
Código Postal: 111711. www.funcionpublica.gov.co ● eva@funcionpublica.gov.co</t>
  </si>
  <si>
    <t>Aceptar</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</si>
  <si>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</si>
  <si>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</si>
  <si>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</si>
  <si>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</si>
  <si>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</si>
  <si>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</si>
  <si>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</si>
  <si>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</si>
  <si>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</si>
  <si>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</si>
  <si>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</si>
  <si>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</si>
  <si>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</si>
  <si>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</si>
  <si>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</si>
  <si>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Código:</t>
  </si>
  <si>
    <t xml:space="preserve">Página: </t>
  </si>
  <si>
    <r>
      <t xml:space="preserve">Versión: </t>
    </r>
    <r>
      <rPr>
        <sz val="14"/>
        <rFont val="Arial Narrow"/>
        <family val="2"/>
      </rPr>
      <t>0.0</t>
    </r>
  </si>
  <si>
    <r>
      <t>Fecha Aprobación:</t>
    </r>
    <r>
      <rPr>
        <sz val="14"/>
        <rFont val="Arial Narrow"/>
        <family val="2"/>
      </rPr>
      <t xml:space="preserve"> </t>
    </r>
  </si>
  <si>
    <t>ITEM</t>
  </si>
  <si>
    <t>REFERENCIA</t>
  </si>
  <si>
    <t>Pérdida, extravío, hurto, robo o declaratoria de bienes muebles faltantes pertenecientes a la entidad</t>
  </si>
  <si>
    <t>A causa de la omisión en la aplicación del procedimiento para actualización del inventario de bienes muebles</t>
  </si>
  <si>
    <t>Posibilidad de efecto dañoso sobre bienes por pérdida, extravío, hurto, robo o declaratoria de bienes muebles faltantes pertenecientes a la entidad, a causa de la omisión en la aplicación del procedimiento para actualización del inventario de bienes muebles</t>
  </si>
  <si>
    <t>RECURSO FISICO</t>
  </si>
  <si>
    <t xml:space="preserve">Pago de sanción e intereses moratorios. </t>
  </si>
  <si>
    <t>Mayores valores pagados en la nómina</t>
  </si>
  <si>
    <t>Inconsistencias en la información reportada en el software de nómina de la entidad.</t>
  </si>
  <si>
    <t>Posibilidad de efecto dañoso sobre recursos públicos por mayores valores pagados en la nómina, a causa de inconsistencias en la información reportada en el software de nómina de la entidad.</t>
  </si>
  <si>
    <t>El funcionario emitirá lineamientos a los supervisores de los contratos con el fin de que estos ejerza el control y seguimiento a la ejecución contractual para verificar el cumplimiento de las condiciones y especificaciones técnicas pactadas y establecidas en la etapa precontractual, de acuerdo a las normas vigentes.</t>
  </si>
  <si>
    <t>preventivo</t>
  </si>
  <si>
    <t xml:space="preserve">Profesional encargado </t>
  </si>
  <si>
    <t>Pagar bienes, servicios u obras  a pesar de no cumplir las condiciones de calidad</t>
  </si>
  <si>
    <t>Obras recibidas a satisfacción</t>
  </si>
  <si>
    <t>Colapso o fallas en la estabiilidad  de la obra</t>
  </si>
  <si>
    <t>El profesional encargado verifica que los bienes, servicios, obras cumplan con la condiciones de calidad de acuerdo al requerimiento para lo cual fue contratado</t>
  </si>
  <si>
    <t>Realizar un (1)  informe  de monitoreo y seguimiento  de las actividades realizas por parte del contratista (supervisor)</t>
  </si>
  <si>
    <r>
      <rPr>
        <b/>
        <sz val="12"/>
        <color theme="9" tint="-0.249977111117893"/>
        <rFont val="Arial Narrow"/>
        <family val="2"/>
      </rPr>
      <t xml:space="preserve">*Nota: </t>
    </r>
    <r>
      <rPr>
        <sz val="12"/>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</si>
  <si>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FINANCIERA &amp; PRESUPUESTAL</t>
  </si>
  <si>
    <t xml:space="preserve"> Trámite inoportuno a los requerimientos PQRSD  remitidos por los entes de control y vigilancia, ciudadania , afiliados , de acuerdo con sus linemientos y términos de ley </t>
  </si>
  <si>
    <t xml:space="preserve">Posibilidad de efecto dañoso sobre recursos públicos por pago de sanción e intereses moratorios, a causa del trámite inoportuno a los requerimientos  PQRSD de los entes de control y vigilancia, de acuerdo con sus lineamientos y términos de ley </t>
  </si>
  <si>
    <t>JURIDICO &amp; CONTRACTUAL</t>
  </si>
  <si>
    <t>Posibilidad de efecto dañoso sobre recursos públicos por la no inclusión en el contrato de seguros -amparo de bienes de la entidad- todos los bienes muebles e inmuebles de la entidad , a causa del incumplimiento en la cobertura de las garantías que amparan los riesgos definidos en la etapa precontractual de acuerdo al Manual de Contratación  CPSM VIG 2023</t>
  </si>
  <si>
    <t>Incumplimiento en la cobertura de las garantías que amparan los riesgos definidos en la etapa precontractual de acuerdo al Manual de Contratación  CPSM VIG 2023</t>
  </si>
  <si>
    <t>La Subdireccion Juridica- contratacion  verifica que  las condiciones de las garantias: Integridad de la Póliza, Vigencia y Valores, amparos exigidos en el contrato suscrito este dando aplicacion a lo suscrito en el  Manual de Contratación CPSM VIG 2023</t>
  </si>
  <si>
    <t xml:space="preserve">Realizar un seguimiento a las condiciones de la garantía:  Integridad de la Póliza, Vigencia y Valores, amparos exigidos de acuerdo a lo estipulado en el contrato suscrito dando aplicación al  Manual de Contratación </t>
  </si>
  <si>
    <t>Realizar el envío por correo electrónico del inventario de bienes muebles asignados a los servidores públicos de la CPSM , indicando el estado de su inventario</t>
  </si>
  <si>
    <t>Servidores públicos- Profesional encargado del área de inventarios.(contador)</t>
  </si>
  <si>
    <t>Profesional encargado del área de inventarios. (contador)</t>
  </si>
  <si>
    <t xml:space="preserve">Realizar un (01) informe trismestral  sobre el cumplimiento de las respuestas a los entes de control y vigilancia, ciudadania y afiliados , conforme a solicitudes asignada por  competencia a las dependencias de la CPSM, </t>
  </si>
  <si>
    <t>Secretario ejecutivo</t>
  </si>
  <si>
    <t>Aplicar el procedimiento para liquidación de nómina y liquidación  prima de servicios y navidad generando una prenómina para su revisión, para posteriormente generar el documento oficial de nómina  para revision a detalle de los items registrados antes de proceder con el tramite de pago,</t>
  </si>
  <si>
    <t>Profesional encargado contador</t>
  </si>
  <si>
    <t>JURIDICO &amp; CONTACTUAL  /  SECRETARIA EJECUTIVA/ SISTEMAS</t>
  </si>
  <si>
    <t>El secretario ejecutivo asignado a al ventanilla unica,   revisará y dará  trámite oportuno a las PQRSD allegadas al  correo institucional   contactenos@cpsm.gov.co y aplicativos Cesantias y PQRSD pagina web , las cuales seran remitidas   a los responsables con el fin de dar  trámite en los términos de ley.</t>
  </si>
  <si>
    <t>Subdirección Juridica
Demas dependencias</t>
  </si>
  <si>
    <t>Profesional encargado sistemas</t>
  </si>
  <si>
    <t xml:space="preserve">El profesional  de sistemas revisa la  infraestructura tecnologica de la pagina web de la entidad a traves de actividades de monitoreo en cuanto a funcionamiento optimo de los aplicativos </t>
  </si>
  <si>
    <t>JURIDICO &amp; CONTACTUAL  /  SUBADMINISTRATIVA/ SISTEMAS</t>
  </si>
  <si>
    <t>Identificar los riesgos fiscales que tienen una probabilidad de ocurrir y  mitigarlos con acciones preventivas que reduzcan su impacto dentro del normal desarrollo de los procesos internos de la entidad</t>
  </si>
  <si>
    <t>Fortalecer el cumplimiento de la politica de administracion de riesgops -fiscales  en pro de mitigar los riesgos identificados en etapas contractuales - administrativas  y de direccionamiento estrategico</t>
  </si>
  <si>
    <t>Realizar un seguimiento a los informes de supervisión de los contratos en ejecución suscritos por la subdireccion admnistrativa &amp; juridica,  a partir de la fecha de inicio del Plan de Acción, para verificar el cumplimiento de las condiciones y especificaciones técnicas pactadas y establecidas en la etapa precontractual, de acuerdo a las normas vigentes.</t>
  </si>
  <si>
    <t xml:space="preserve">Circular dirigida a los supervisores de contrato recordando el deber de dar cumplimiento a las obligaciones estipuladas conforme lo señala los Articulos 82, 83 y 84 de la Ley 1474 de 2011 y el Manual de Contrataciòn </t>
  </si>
  <si>
    <t>El funcionario verifica el inventario de bienes muebles asignados a su cargo, de acuerdo con el formato de seguimiento,</t>
  </si>
  <si>
    <t>Realizar un seguimiento del inventario de bienes muebles asignado a los servidores públicos  y del almacen, de acuerdo con el formato registro de inventrarios CPSM, a cargo del profesional contador</t>
  </si>
  <si>
    <t>Errores en la liquidación y cálculo de la retención en la fuente practicada a los funcionarios de la CPSM</t>
  </si>
  <si>
    <t xml:space="preserve">Ausencia de controles preventivos y detectivos en el proceso de la liquidación de la retención en la fuente de ingresos laborales de los funcionarios </t>
  </si>
  <si>
    <t>Posibilidad de efecto dañoso sobre recursos públicos por errores en la liquidación y cálculo de la retención en la fuente practicadaa los funcionarios de la CPSM , a causa de la Ausencia de controles preventivos y detectivos en el proceso de liquidación.</t>
  </si>
  <si>
    <t>El profesional encargado del área de nómina, verifica la información del sistema de nómina y garantiza el correcto cálculo y descuento a los funcionarios por concepto de retencion,</t>
  </si>
  <si>
    <t>Expedir y comunicar una circular dirigida a las Dependencias de la CPSM sobre la debida  y/o respuestas en  defensa tecnica teniendo en cuenta los requerimientos en las PQRSD allegadas
De igual forma socializar los procesos en contra de la CPSM, comité de conciliaciones,</t>
  </si>
  <si>
    <t>La subdirección juridica emitirá linamientos respecto de la forma adecuada de ejercer la Defensa Técnica de los intereses y procesos juridicos (demandas y litigios)  de la CPSM  en aras de prevenir la configuración de Daño Antijurídico contra la entidad</t>
  </si>
  <si>
    <t xml:space="preserve">Realizar un (1)  informe  de monitoreo  de las actividades programadas según cronograma de trabajo para el normal sosteniemiento de la pagina web de la entidad. </t>
  </si>
  <si>
    <t xml:space="preserve">La secretaria ejecutiva encargada de dar trázabilidad oportuna a los requerimientos  ´PQRSD de los entes de control y vigilancia, afiliados y ciudadania en general  verifica los terminos de respuesta  de acuerdo con los linemientos y la normatividad vigente </t>
  </si>
  <si>
    <t>La persona encargada de nómina verifica la información reportada de acuerdo con el procedimiento para liquidación de nómina , liquidación  prima de servicios , navidad e informacion de vinculación y desvinculación de funcionarios publicos</t>
  </si>
  <si>
    <t>Mantener actualizado el procedimiento de liquidacion de retencion en la fuente por salarios,</t>
  </si>
  <si>
    <t>SUDIRECCION ADMINISTRATIVA</t>
  </si>
  <si>
    <t>No cobro de incapacidades</t>
  </si>
  <si>
    <t xml:space="preserve">No gestion oportuna del cobro de incapacidades </t>
  </si>
  <si>
    <t xml:space="preserve">Posibilidad de efecto dañoso por el no cobro de incapacidades </t>
  </si>
  <si>
    <t>El profesional encargado debera tramitar el cobro de las incapacidades superiores a 3 dias ante la EPS y realizar el seguimiento de que las incapacidades sean pagadas a la Entidad en el menor tiempo posible</t>
  </si>
  <si>
    <t xml:space="preserve">
Soporte radicado de cobro de  de las incapacidades generadas por los servidores publicos que sean mayores a 3 dias  ante la eps y su respectivo trazabilidad de pago a la CPSM</t>
  </si>
  <si>
    <t>ENERO 31 2024</t>
  </si>
  <si>
    <t xml:space="preserve">APROBADO EN COMITÉ DE GESTIÓN Y DESEMPEÑO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</si>
</sst>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b/>
      <sz val="14"/>
      <color theme="1"/>
      <name val="Arial Narrow"/>
      <family val="2"/>
    </font>
    <font>
      <sz val="11"/>
      <color rgb="FF030303"/>
      <name val="Arial"/>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6" tint="-0.249977111117893"/>
      <name val="Arial Narrow"/>
      <family val="2"/>
    </font>
    <font>
      <i/>
      <sz val="11"/>
      <color theme="1"/>
      <name val="Arial Narrow"/>
      <family val="2"/>
    </font>
    <font>
      <b/>
      <sz val="10"/>
      <color theme="1"/>
      <name val="Arial Narrow"/>
      <family val="2"/>
    </font>
    <font>
      <i/>
      <sz val="10"/>
      <color theme="1"/>
      <name val="Arial Narrow"/>
      <family val="2"/>
    </font>
    <font>
      <i/>
      <sz val="10"/>
      <color rgb="FF000000"/>
      <name val="Arial Narrow"/>
      <family val="2"/>
    </font>
    <font>
      <b/>
      <i/>
      <u/>
      <sz val="10"/>
      <color rgb="FF000000"/>
      <name val="Arial Narrow"/>
      <family val="2"/>
    </font>
    <font>
      <b/>
      <sz val="11"/>
      <name val="Arial"/>
      <family val="2"/>
    </font>
    <font>
      <sz val="11"/>
      <name val="Arial"/>
      <family val="2"/>
    </font>
    <font>
      <sz val="12"/>
      <color theme="1"/>
      <name val="Arial"/>
      <family val="2"/>
    </font>
    <font>
      <sz val="20"/>
      <color theme="1"/>
      <name val="Arial"/>
      <family val="2"/>
    </font>
    <font>
      <sz val="11"/>
      <color theme="1"/>
      <name val="Arial"/>
      <family val="2"/>
    </font>
    <font>
      <b/>
      <sz val="26"/>
      <color theme="1"/>
      <name val="Arial"/>
      <family val="2"/>
    </font>
    <font>
      <b/>
      <sz val="24"/>
      <color rgb="FF000000"/>
      <name val="Arial"/>
      <family val="2"/>
    </font>
    <font>
      <sz val="11"/>
      <color theme="0"/>
      <name val="Arial"/>
      <family val="2"/>
    </font>
    <font>
      <sz val="26"/>
      <color rgb="FF000000"/>
      <name val="Arial"/>
      <family val="2"/>
    </font>
    <font>
      <sz val="26"/>
      <color rgb="FFFFFFFF"/>
      <name val="Arial"/>
      <family val="2"/>
    </font>
    <font>
      <sz val="16"/>
      <color rgb="FF000000"/>
      <name val="Arial"/>
      <family val="2"/>
    </font>
    <font>
      <b/>
      <sz val="11"/>
      <color theme="1"/>
      <name val="Arial"/>
      <family val="2"/>
    </font>
    <font>
      <sz val="16"/>
      <color rgb="FFFF0000"/>
      <name val="Arial"/>
      <family val="2"/>
    </font>
    <font>
      <sz val="11"/>
      <color rgb="FFFF0000"/>
      <name val="Arial"/>
      <family val="2"/>
    </font>
    <font>
      <b/>
      <sz val="18"/>
      <color theme="1"/>
      <name val="Arial"/>
      <family val="2"/>
    </font>
    <font>
      <sz val="14"/>
      <name val="Arial"/>
      <family val="2"/>
    </font>
    <font>
      <b/>
      <sz val="14"/>
      <color rgb="FF000000"/>
      <name val="Arial"/>
      <family val="2"/>
    </font>
    <font>
      <sz val="14"/>
      <color rgb="FF000000"/>
      <name val="Arial"/>
      <family val="2"/>
    </font>
    <font>
      <sz val="14"/>
      <color rgb="FFFFFFFF"/>
      <name val="Arial"/>
      <family val="2"/>
    </font>
    <font>
      <sz val="14"/>
      <name val="Arial Narrow"/>
      <family val="2"/>
    </font>
    <font>
      <sz val="12"/>
      <name val="Arial Narrow"/>
      <family val="2"/>
    </font>
    <font>
      <b/>
      <sz val="12"/>
      <color theme="1"/>
      <name val="Arial Narrow"/>
      <family val="2"/>
    </font>
    <font>
      <b/>
      <sz val="4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7"/>
        <bgColor indexed="64"/>
      </patternFill>
    </fill>
  </fills>
  <borders count="7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theme="9" tint="-0.24994659260841701"/>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ashed">
        <color rgb="FFE26B0A"/>
      </left>
      <right style="dashed">
        <color rgb="FFE26B0A"/>
      </right>
      <top/>
      <bottom/>
      <diagonal/>
    </border>
    <border>
      <left style="dashed">
        <color rgb="FFE26B0A"/>
      </left>
      <right style="dashed">
        <color rgb="FFE26B0A"/>
      </right>
      <top style="dashed">
        <color rgb="FFE26B0A"/>
      </top>
      <bottom style="dashed">
        <color rgb="FFE26B0A"/>
      </bottom>
      <diagonal/>
    </border>
    <border>
      <left style="dashed">
        <color theme="9" tint="-0.24994659260841701"/>
      </left>
      <right style="dashed">
        <color rgb="FFE26B0A"/>
      </right>
      <top style="dashed">
        <color theme="9" tint="-0.24994659260841701"/>
      </top>
      <bottom/>
      <diagonal/>
    </border>
    <border>
      <left style="dashed">
        <color theme="9" tint="-0.24994659260841701"/>
      </left>
      <right style="dashed">
        <color rgb="FFE26B0A"/>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style="dashed">
        <color theme="9" tint="-0.24994659260841701"/>
      </top>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style="dashed">
        <color theme="9" tint="-0.24994659260841701"/>
      </top>
      <bottom/>
      <diagonal/>
    </border>
    <border>
      <left style="dashed">
        <color rgb="FFE26B0A"/>
      </left>
      <right style="dashed">
        <color theme="9" tint="-0.24994659260841701"/>
      </right>
      <top/>
      <bottom/>
      <diagonal/>
    </border>
    <border>
      <left style="dashed">
        <color rgb="FFE26B0A"/>
      </left>
      <right style="dashed">
        <color theme="9" tint="-0.24994659260841701"/>
      </right>
      <top/>
      <bottom style="dashed">
        <color theme="9" tint="-0.24994659260841701"/>
      </bottom>
      <diagonal/>
    </border>
  </borders>
  <cellStyleXfs count="5">
    <xf numFmtId="0" fontId="0" fillId="0" borderId="0"/>
    <xf numFmtId="9" fontId="9" fillId="0" borderId="0" applyFont="0" applyFill="0" applyBorder="0" applyAlignment="0" applyProtection="0"/>
    <xf numFmtId="0" fontId="33" fillId="0" borderId="0"/>
    <xf numFmtId="0" fontId="34" fillId="0" borderId="0"/>
    <xf numFmtId="0" fontId="5" fillId="0" borderId="0"/>
  </cellStyleXfs>
  <cellXfs count="523">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20" fillId="0" borderId="0" xfId="0" applyFont="1"/>
    <xf numFmtId="0" fontId="13" fillId="11" borderId="11" xfId="0" applyFont="1" applyFill="1" applyBorder="1" applyAlignment="1" applyProtection="1">
      <alignment horizontal="center" vertical="center" wrapText="1" readingOrder="1"/>
      <protection hidden="1"/>
    </xf>
    <xf numFmtId="0" fontId="13" fillId="11" borderId="18" xfId="0" applyFont="1" applyFill="1" applyBorder="1" applyAlignment="1" applyProtection="1">
      <alignment horizontal="center" vertical="center" wrapText="1" readingOrder="1"/>
      <protection hidden="1"/>
    </xf>
    <xf numFmtId="0" fontId="13" fillId="11" borderId="12" xfId="0" applyFont="1" applyFill="1" applyBorder="1" applyAlignment="1" applyProtection="1">
      <alignment horizontal="center" vertical="center" wrapText="1" readingOrder="1"/>
      <protection hidden="1"/>
    </xf>
    <xf numFmtId="0" fontId="13" fillId="12" borderId="11" xfId="0" applyFont="1" applyFill="1" applyBorder="1" applyAlignment="1" applyProtection="1">
      <alignment horizontal="center" wrapText="1" readingOrder="1"/>
      <protection hidden="1"/>
    </xf>
    <xf numFmtId="0" fontId="13" fillId="12" borderId="18" xfId="0" applyFont="1" applyFill="1" applyBorder="1" applyAlignment="1" applyProtection="1">
      <alignment horizontal="center" wrapText="1" readingOrder="1"/>
      <protection hidden="1"/>
    </xf>
    <xf numFmtId="0" fontId="13" fillId="12" borderId="12" xfId="0" applyFont="1" applyFill="1" applyBorder="1" applyAlignment="1" applyProtection="1">
      <alignment horizontal="center" wrapText="1" readingOrder="1"/>
      <protection hidden="1"/>
    </xf>
    <xf numFmtId="0" fontId="13" fillId="11" borderId="13" xfId="0" applyFont="1" applyFill="1" applyBorder="1" applyAlignment="1" applyProtection="1">
      <alignment horizontal="center" vertical="center" wrapText="1" readingOrder="1"/>
      <protection hidden="1"/>
    </xf>
    <xf numFmtId="0" fontId="13" fillId="11" borderId="0" xfId="0" applyFont="1" applyFill="1" applyAlignment="1" applyProtection="1">
      <alignment horizontal="center" vertical="center" wrapText="1" readingOrder="1"/>
      <protection hidden="1"/>
    </xf>
    <xf numFmtId="0" fontId="13" fillId="11" borderId="14" xfId="0" applyFont="1" applyFill="1" applyBorder="1" applyAlignment="1" applyProtection="1">
      <alignment horizontal="center" vertical="center" wrapText="1" readingOrder="1"/>
      <protection hidden="1"/>
    </xf>
    <xf numFmtId="0" fontId="13" fillId="12" borderId="13" xfId="0" applyFont="1" applyFill="1" applyBorder="1" applyAlignment="1" applyProtection="1">
      <alignment horizontal="center" wrapText="1" readingOrder="1"/>
      <protection hidden="1"/>
    </xf>
    <xf numFmtId="0" fontId="13" fillId="12" borderId="0" xfId="0" applyFont="1" applyFill="1" applyAlignment="1" applyProtection="1">
      <alignment horizontal="center" wrapText="1" readingOrder="1"/>
      <protection hidden="1"/>
    </xf>
    <xf numFmtId="0" fontId="13" fillId="12" borderId="14" xfId="0" applyFont="1" applyFill="1" applyBorder="1" applyAlignment="1" applyProtection="1">
      <alignment horizontal="center" wrapText="1" readingOrder="1"/>
      <protection hidden="1"/>
    </xf>
    <xf numFmtId="0" fontId="13" fillId="11" borderId="15" xfId="0" applyFont="1" applyFill="1" applyBorder="1" applyAlignment="1" applyProtection="1">
      <alignment horizontal="center" vertical="center" wrapText="1" readingOrder="1"/>
      <protection hidden="1"/>
    </xf>
    <xf numFmtId="0" fontId="13" fillId="11" borderId="17" xfId="0" applyFont="1" applyFill="1" applyBorder="1" applyAlignment="1" applyProtection="1">
      <alignment horizontal="center" vertical="center" wrapText="1" readingOrder="1"/>
      <protection hidden="1"/>
    </xf>
    <xf numFmtId="0" fontId="13" fillId="11" borderId="16" xfId="0" applyFont="1" applyFill="1" applyBorder="1" applyAlignment="1" applyProtection="1">
      <alignment horizontal="center" vertical="center" wrapText="1" readingOrder="1"/>
      <protection hidden="1"/>
    </xf>
    <xf numFmtId="0" fontId="13" fillId="12" borderId="15" xfId="0" applyFont="1" applyFill="1" applyBorder="1" applyAlignment="1" applyProtection="1">
      <alignment horizontal="center" wrapText="1" readingOrder="1"/>
      <protection hidden="1"/>
    </xf>
    <xf numFmtId="0" fontId="13" fillId="12" borderId="17" xfId="0" applyFont="1" applyFill="1" applyBorder="1" applyAlignment="1" applyProtection="1">
      <alignment horizontal="center" wrapText="1" readingOrder="1"/>
      <protection hidden="1"/>
    </xf>
    <xf numFmtId="0" fontId="13" fillId="12" borderId="16" xfId="0" applyFont="1" applyFill="1" applyBorder="1" applyAlignment="1" applyProtection="1">
      <alignment horizontal="center" wrapText="1" readingOrder="1"/>
      <protection hidden="1"/>
    </xf>
    <xf numFmtId="0" fontId="13" fillId="13" borderId="11" xfId="0" applyFont="1" applyFill="1" applyBorder="1" applyAlignment="1" applyProtection="1">
      <alignment horizontal="center" wrapText="1" readingOrder="1"/>
      <protection hidden="1"/>
    </xf>
    <xf numFmtId="0" fontId="13" fillId="13" borderId="18" xfId="0" applyFont="1" applyFill="1" applyBorder="1" applyAlignment="1" applyProtection="1">
      <alignment horizontal="center" wrapText="1" readingOrder="1"/>
      <protection hidden="1"/>
    </xf>
    <xf numFmtId="0" fontId="13" fillId="13" borderId="12" xfId="0" applyFont="1" applyFill="1" applyBorder="1" applyAlignment="1" applyProtection="1">
      <alignment horizontal="center" wrapText="1" readingOrder="1"/>
      <protection hidden="1"/>
    </xf>
    <xf numFmtId="0" fontId="13" fillId="13" borderId="13" xfId="0" applyFont="1" applyFill="1" applyBorder="1" applyAlignment="1" applyProtection="1">
      <alignment horizontal="center" wrapText="1" readingOrder="1"/>
      <protection hidden="1"/>
    </xf>
    <xf numFmtId="0" fontId="13" fillId="13" borderId="0" xfId="0" applyFont="1" applyFill="1" applyAlignment="1" applyProtection="1">
      <alignment horizontal="center" wrapText="1" readingOrder="1"/>
      <protection hidden="1"/>
    </xf>
    <xf numFmtId="0" fontId="13" fillId="13" borderId="14" xfId="0" applyFont="1" applyFill="1" applyBorder="1" applyAlignment="1" applyProtection="1">
      <alignment horizontal="center" wrapText="1" readingOrder="1"/>
      <protection hidden="1"/>
    </xf>
    <xf numFmtId="0" fontId="13" fillId="13" borderId="15" xfId="0" applyFont="1" applyFill="1" applyBorder="1" applyAlignment="1" applyProtection="1">
      <alignment horizontal="center" wrapText="1" readingOrder="1"/>
      <protection hidden="1"/>
    </xf>
    <xf numFmtId="0" fontId="13" fillId="13" borderId="17" xfId="0" applyFont="1" applyFill="1" applyBorder="1" applyAlignment="1" applyProtection="1">
      <alignment horizontal="center" wrapText="1" readingOrder="1"/>
      <protection hidden="1"/>
    </xf>
    <xf numFmtId="0" fontId="13" fillId="13" borderId="16" xfId="0" applyFont="1" applyFill="1" applyBorder="1" applyAlignment="1" applyProtection="1">
      <alignment horizontal="center" wrapText="1" readingOrder="1"/>
      <protection hidden="1"/>
    </xf>
    <xf numFmtId="0" fontId="13" fillId="5" borderId="11" xfId="0" applyFont="1" applyFill="1" applyBorder="1" applyAlignment="1" applyProtection="1">
      <alignment horizontal="center" wrapText="1" readingOrder="1"/>
      <protection hidden="1"/>
    </xf>
    <xf numFmtId="0" fontId="13" fillId="5" borderId="18" xfId="0" applyFont="1" applyFill="1" applyBorder="1" applyAlignment="1" applyProtection="1">
      <alignment horizontal="center" wrapText="1" readingOrder="1"/>
      <protection hidden="1"/>
    </xf>
    <xf numFmtId="0" fontId="13" fillId="5" borderId="12" xfId="0" applyFont="1" applyFill="1" applyBorder="1" applyAlignment="1" applyProtection="1">
      <alignment horizontal="center" wrapText="1" readingOrder="1"/>
      <protection hidden="1"/>
    </xf>
    <xf numFmtId="0" fontId="13" fillId="5" borderId="13" xfId="0" applyFont="1" applyFill="1" applyBorder="1" applyAlignment="1" applyProtection="1">
      <alignment horizontal="center" wrapText="1" readingOrder="1"/>
      <protection hidden="1"/>
    </xf>
    <xf numFmtId="0" fontId="13" fillId="5" borderId="0" xfId="0" applyFont="1" applyFill="1" applyAlignment="1" applyProtection="1">
      <alignment horizontal="center" wrapText="1" readingOrder="1"/>
      <protection hidden="1"/>
    </xf>
    <xf numFmtId="0" fontId="13" fillId="5" borderId="14" xfId="0" applyFont="1" applyFill="1" applyBorder="1" applyAlignment="1" applyProtection="1">
      <alignment horizontal="center" wrapText="1" readingOrder="1"/>
      <protection hidden="1"/>
    </xf>
    <xf numFmtId="0" fontId="13" fillId="5" borderId="15" xfId="0" applyFont="1" applyFill="1" applyBorder="1" applyAlignment="1" applyProtection="1">
      <alignment horizontal="center" wrapText="1" readingOrder="1"/>
      <protection hidden="1"/>
    </xf>
    <xf numFmtId="0" fontId="13" fillId="5" borderId="17" xfId="0" applyFont="1" applyFill="1" applyBorder="1" applyAlignment="1" applyProtection="1">
      <alignment horizontal="center" wrapText="1" readingOrder="1"/>
      <protection hidden="1"/>
    </xf>
    <xf numFmtId="0" fontId="13" fillId="5"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0" fillId="3" borderId="0" xfId="0" applyFill="1"/>
    <xf numFmtId="0" fontId="10" fillId="3" borderId="0" xfId="0" applyFont="1" applyFill="1" applyAlignment="1">
      <alignment vertical="center"/>
    </xf>
    <xf numFmtId="0" fontId="5" fillId="3" borderId="0" xfId="0" applyFont="1" applyFill="1"/>
    <xf numFmtId="0" fontId="23" fillId="3" borderId="0" xfId="0" applyFont="1" applyFill="1"/>
    <xf numFmtId="0" fontId="24" fillId="3" borderId="33" xfId="0" applyFont="1" applyFill="1" applyBorder="1" applyAlignment="1">
      <alignment horizontal="center" vertical="center" wrapText="1" readingOrder="1"/>
    </xf>
    <xf numFmtId="0" fontId="25" fillId="3" borderId="33" xfId="0" applyFont="1" applyFill="1" applyBorder="1" applyAlignment="1">
      <alignment horizontal="justify" vertical="center" wrapText="1" readingOrder="1"/>
    </xf>
    <xf numFmtId="9" fontId="24" fillId="3" borderId="40" xfId="0" applyNumberFormat="1" applyFont="1" applyFill="1" applyBorder="1" applyAlignment="1">
      <alignment horizontal="center" vertical="center" wrapText="1" readingOrder="1"/>
    </xf>
    <xf numFmtId="0" fontId="24" fillId="3" borderId="32" xfId="0" applyFont="1" applyFill="1" applyBorder="1" applyAlignment="1">
      <alignment horizontal="center" vertical="center" wrapText="1" readingOrder="1"/>
    </xf>
    <xf numFmtId="0" fontId="25" fillId="3" borderId="32" xfId="0" applyFont="1" applyFill="1" applyBorder="1" applyAlignment="1">
      <alignment horizontal="justify" vertical="center" wrapText="1" readingOrder="1"/>
    </xf>
    <xf numFmtId="9" fontId="24" fillId="3" borderId="35" xfId="0" applyNumberFormat="1" applyFont="1" applyFill="1" applyBorder="1" applyAlignment="1">
      <alignment horizontal="center" vertical="center" wrapText="1" readingOrder="1"/>
    </xf>
    <xf numFmtId="0" fontId="25" fillId="3" borderId="35" xfId="0" applyFont="1" applyFill="1" applyBorder="1" applyAlignment="1">
      <alignment horizontal="center" vertical="center" wrapText="1" readingOrder="1"/>
    </xf>
    <xf numFmtId="0" fontId="24" fillId="3" borderId="37" xfId="0" applyFont="1" applyFill="1" applyBorder="1" applyAlignment="1">
      <alignment horizontal="center" vertical="center" wrapText="1" readingOrder="1"/>
    </xf>
    <xf numFmtId="0" fontId="25" fillId="3" borderId="37" xfId="0" applyFont="1" applyFill="1" applyBorder="1" applyAlignment="1">
      <alignment horizontal="justify" vertical="center" wrapText="1" readingOrder="1"/>
    </xf>
    <xf numFmtId="0" fontId="25" fillId="3" borderId="38" xfId="0" applyFont="1" applyFill="1" applyBorder="1" applyAlignment="1">
      <alignment horizontal="center" vertical="center" wrapText="1" readingOrder="1"/>
    </xf>
    <xf numFmtId="0" fontId="32" fillId="3" borderId="0" xfId="0" applyFont="1" applyFill="1"/>
    <xf numFmtId="0" fontId="24" fillId="14" borderId="42" xfId="0" applyFont="1" applyFill="1" applyBorder="1" applyAlignment="1">
      <alignment horizontal="center" vertical="center" wrapText="1" readingOrder="1"/>
    </xf>
    <xf numFmtId="0" fontId="24" fillId="14" borderId="43" xfId="0" applyFont="1" applyFill="1" applyBorder="1" applyAlignment="1">
      <alignment horizontal="center" vertical="center" wrapText="1" readingOrder="1"/>
    </xf>
    <xf numFmtId="0" fontId="46" fillId="0" borderId="16" xfId="0" applyFont="1" applyBorder="1" applyAlignment="1">
      <alignment horizontal="center" vertical="center" wrapText="1"/>
    </xf>
    <xf numFmtId="0" fontId="47" fillId="0" borderId="1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6" xfId="0" applyFont="1" applyBorder="1" applyAlignment="1">
      <alignment horizontal="justify" vertical="center" wrapText="1"/>
    </xf>
    <xf numFmtId="0" fontId="45" fillId="0" borderId="14" xfId="0" applyFont="1" applyBorder="1" applyAlignment="1">
      <alignment horizontal="center" vertical="center" wrapText="1"/>
    </xf>
    <xf numFmtId="0" fontId="49" fillId="3" borderId="32" xfId="0" applyFont="1" applyFill="1" applyBorder="1" applyAlignment="1">
      <alignment horizontal="left" vertical="center"/>
    </xf>
    <xf numFmtId="0" fontId="21" fillId="3" borderId="32" xfId="0" applyFont="1" applyFill="1" applyBorder="1" applyAlignment="1">
      <alignment horizontal="center" vertical="center" wrapText="1"/>
    </xf>
    <xf numFmtId="0" fontId="35" fillId="3" borderId="32" xfId="2" applyFont="1" applyFill="1" applyBorder="1"/>
    <xf numFmtId="0" fontId="37" fillId="3" borderId="32" xfId="2" quotePrefix="1" applyFont="1" applyFill="1" applyBorder="1" applyAlignment="1">
      <alignment horizontal="left" vertical="top" wrapText="1"/>
    </xf>
    <xf numFmtId="0" fontId="38" fillId="3" borderId="32" xfId="2" quotePrefix="1" applyFont="1" applyFill="1" applyBorder="1" applyAlignment="1">
      <alignment horizontal="left" vertical="top" wrapText="1"/>
    </xf>
    <xf numFmtId="0" fontId="35" fillId="3" borderId="32" xfId="2" quotePrefix="1" applyFont="1" applyFill="1" applyBorder="1" applyAlignment="1">
      <alignment horizontal="left" vertical="top" wrapText="1"/>
    </xf>
    <xf numFmtId="0" fontId="39" fillId="3" borderId="32" xfId="2" quotePrefix="1" applyFont="1" applyFill="1" applyBorder="1" applyAlignment="1">
      <alignment horizontal="left" vertical="top" wrapText="1"/>
    </xf>
    <xf numFmtId="0" fontId="40" fillId="3" borderId="32" xfId="0" applyFont="1" applyFill="1" applyBorder="1" applyAlignment="1">
      <alignment horizontal="left" vertical="center" wrapText="1"/>
    </xf>
    <xf numFmtId="0" fontId="41" fillId="3" borderId="32" xfId="0" applyFont="1" applyFill="1" applyBorder="1" applyAlignment="1">
      <alignment horizontal="left" vertical="top" wrapText="1"/>
    </xf>
    <xf numFmtId="0" fontId="35" fillId="3" borderId="32" xfId="2" applyFont="1" applyFill="1" applyBorder="1" applyAlignment="1">
      <alignment horizontal="left" vertical="top" wrapText="1"/>
    </xf>
    <xf numFmtId="0" fontId="53" fillId="0" borderId="0" xfId="0" applyFont="1"/>
    <xf numFmtId="0" fontId="53" fillId="3" borderId="0" xfId="0" applyFont="1" applyFill="1"/>
    <xf numFmtId="0" fontId="53" fillId="3" borderId="32" xfId="0" applyFont="1" applyFill="1" applyBorder="1"/>
    <xf numFmtId="0" fontId="56" fillId="3" borderId="0" xfId="0" applyFont="1" applyFill="1"/>
    <xf numFmtId="0" fontId="57" fillId="5" borderId="32" xfId="0" applyFont="1" applyFill="1" applyBorder="1" applyAlignment="1">
      <alignment horizontal="center" vertical="center" wrapText="1" readingOrder="1"/>
    </xf>
    <xf numFmtId="0" fontId="57" fillId="7" borderId="32" xfId="0" applyFont="1" applyFill="1" applyBorder="1" applyAlignment="1">
      <alignment horizontal="center" vertical="center" wrapText="1" readingOrder="1"/>
    </xf>
    <xf numFmtId="0" fontId="57" fillId="4" borderId="32" xfId="0" applyFont="1" applyFill="1" applyBorder="1" applyAlignment="1">
      <alignment horizontal="center" vertical="center" wrapText="1" readingOrder="1"/>
    </xf>
    <xf numFmtId="0" fontId="57" fillId="8" borderId="32" xfId="0" applyFont="1" applyFill="1" applyBorder="1" applyAlignment="1">
      <alignment horizontal="center" vertical="center" wrapText="1" readingOrder="1"/>
    </xf>
    <xf numFmtId="0" fontId="58" fillId="9" borderId="32" xfId="0" applyFont="1" applyFill="1" applyBorder="1" applyAlignment="1">
      <alignment horizontal="center" vertical="center" wrapText="1" readingOrder="1"/>
    </xf>
    <xf numFmtId="0" fontId="59" fillId="3" borderId="0" xfId="0" applyFont="1" applyFill="1" applyAlignment="1">
      <alignment horizontal="justify" vertical="center" wrapText="1" readingOrder="1"/>
    </xf>
    <xf numFmtId="0" fontId="60" fillId="3" borderId="0" xfId="0" applyFont="1" applyFill="1" applyAlignment="1">
      <alignment vertical="center"/>
    </xf>
    <xf numFmtId="0" fontId="50" fillId="3" borderId="0" xfId="0" applyFont="1" applyFill="1"/>
    <xf numFmtId="0" fontId="56" fillId="0" borderId="0" xfId="0" applyFont="1"/>
    <xf numFmtId="0" fontId="59" fillId="0" borderId="0" xfId="0" applyFont="1" applyAlignment="1">
      <alignment horizontal="justify" vertical="center" wrapText="1" readingOrder="1"/>
    </xf>
    <xf numFmtId="0" fontId="61" fillId="0" borderId="0" xfId="0" applyFont="1" applyAlignment="1">
      <alignment vertical="center"/>
    </xf>
    <xf numFmtId="0" fontId="53" fillId="0" borderId="0" xfId="0" pivotButton="1" applyFont="1"/>
    <xf numFmtId="0" fontId="61" fillId="0" borderId="0" xfId="0" applyFont="1"/>
    <xf numFmtId="0" fontId="62" fillId="0" borderId="0" xfId="0" applyFont="1"/>
    <xf numFmtId="0" fontId="50" fillId="0" borderId="0" xfId="0" applyFont="1"/>
    <xf numFmtId="0" fontId="60" fillId="3" borderId="0" xfId="0" applyFont="1" applyFill="1" applyAlignment="1">
      <alignment horizontal="left" vertical="center"/>
    </xf>
    <xf numFmtId="0" fontId="64" fillId="0" borderId="32" xfId="0" applyFont="1" applyBorder="1" applyAlignment="1">
      <alignment horizontal="center" vertical="center" wrapText="1"/>
    </xf>
    <xf numFmtId="0" fontId="65" fillId="6" borderId="32" xfId="0" applyFont="1" applyFill="1" applyBorder="1" applyAlignment="1">
      <alignment horizontal="center" vertical="center" wrapText="1" readingOrder="1"/>
    </xf>
    <xf numFmtId="0" fontId="66" fillId="5" borderId="32" xfId="0" applyFont="1" applyFill="1" applyBorder="1" applyAlignment="1">
      <alignment horizontal="center" vertical="center" wrapText="1" readingOrder="1"/>
    </xf>
    <xf numFmtId="0" fontId="66" fillId="0" borderId="32" xfId="0" applyFont="1" applyBorder="1" applyAlignment="1">
      <alignment horizontal="justify" vertical="center" wrapText="1" readingOrder="1"/>
    </xf>
    <xf numFmtId="9" fontId="66" fillId="0" borderId="32" xfId="0" applyNumberFormat="1" applyFont="1" applyBorder="1" applyAlignment="1">
      <alignment horizontal="center" vertical="center" wrapText="1" readingOrder="1"/>
    </xf>
    <xf numFmtId="0" fontId="66" fillId="7" borderId="32" xfId="0" applyFont="1" applyFill="1" applyBorder="1" applyAlignment="1">
      <alignment horizontal="center" vertical="center" wrapText="1" readingOrder="1"/>
    </xf>
    <xf numFmtId="0" fontId="66" fillId="4" borderId="32" xfId="0" applyFont="1" applyFill="1" applyBorder="1" applyAlignment="1">
      <alignment horizontal="center" vertical="center" wrapText="1" readingOrder="1"/>
    </xf>
    <xf numFmtId="0" fontId="66" fillId="8" borderId="32" xfId="0" applyFont="1" applyFill="1" applyBorder="1" applyAlignment="1">
      <alignment horizontal="center" vertical="center" wrapText="1" readingOrder="1"/>
    </xf>
    <xf numFmtId="0" fontId="67" fillId="9" borderId="32" xfId="0" applyFont="1" applyFill="1" applyBorder="1" applyAlignment="1">
      <alignment horizontal="center" vertical="center" wrapText="1" readingOrder="1"/>
    </xf>
    <xf numFmtId="0" fontId="8" fillId="0" borderId="0" xfId="0" applyFont="1"/>
    <xf numFmtId="0" fontId="19" fillId="3" borderId="0" xfId="0" applyFont="1" applyFill="1" applyAlignment="1">
      <alignment horizontal="center" vertical="center"/>
    </xf>
    <xf numFmtId="0" fontId="8" fillId="3" borderId="0" xfId="0" applyFont="1" applyFill="1"/>
    <xf numFmtId="0" fontId="19" fillId="2" borderId="0" xfId="0" applyFont="1" applyFill="1" applyAlignment="1">
      <alignment horizontal="center" vertical="center"/>
    </xf>
    <xf numFmtId="0" fontId="8" fillId="3" borderId="0" xfId="0" applyFont="1" applyFill="1" applyAlignment="1">
      <alignment vertical="center"/>
    </xf>
    <xf numFmtId="0" fontId="8" fillId="0" borderId="0" xfId="0" applyFont="1" applyAlignment="1">
      <alignment vertical="center"/>
    </xf>
    <xf numFmtId="0" fontId="19"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center"/>
    </xf>
    <xf numFmtId="14" fontId="22" fillId="0" borderId="2" xfId="0" applyNumberFormat="1" applyFont="1" applyBorder="1" applyAlignment="1" applyProtection="1">
      <alignment horizontal="center" vertical="center"/>
      <protection locked="0"/>
    </xf>
    <xf numFmtId="0" fontId="22" fillId="0" borderId="2" xfId="0" applyFont="1" applyBorder="1" applyAlignment="1" applyProtection="1">
      <alignment horizontal="center" vertical="top" wrapText="1"/>
      <protection locked="0"/>
    </xf>
    <xf numFmtId="0" fontId="22"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top" textRotation="90"/>
      <protection locked="0"/>
    </xf>
    <xf numFmtId="0" fontId="25" fillId="0" borderId="62" xfId="0" applyFont="1" applyBorder="1" applyAlignment="1">
      <alignment horizontal="justify" vertical="center" wrapText="1"/>
    </xf>
    <xf numFmtId="0" fontId="25" fillId="0" borderId="62" xfId="0" applyFont="1" applyBorder="1" applyAlignment="1">
      <alignment horizontal="center" vertical="center" wrapText="1"/>
    </xf>
    <xf numFmtId="0" fontId="70" fillId="0" borderId="4" xfId="0" applyFont="1" applyBorder="1" applyAlignment="1" applyProtection="1">
      <alignment horizontal="center" vertical="center" textRotation="90" wrapText="1"/>
      <protection hidden="1"/>
    </xf>
    <xf numFmtId="0" fontId="22" fillId="0" borderId="4" xfId="0" applyFont="1" applyBorder="1" applyAlignment="1" applyProtection="1">
      <alignment horizontal="center" vertical="center" textRotation="90"/>
      <protection locked="0"/>
    </xf>
    <xf numFmtId="0" fontId="22" fillId="0" borderId="4" xfId="0" applyFont="1" applyBorder="1" applyAlignment="1" applyProtection="1">
      <alignment vertical="center" textRotation="90"/>
      <protection locked="0"/>
    </xf>
    <xf numFmtId="0" fontId="22" fillId="0" borderId="5" xfId="0" applyFont="1" applyBorder="1" applyAlignment="1" applyProtection="1">
      <alignment vertical="center" textRotation="90"/>
      <protection locked="0"/>
    </xf>
    <xf numFmtId="9" fontId="22" fillId="0" borderId="4" xfId="0" applyNumberFormat="1" applyFont="1" applyBorder="1" applyAlignment="1" applyProtection="1">
      <alignment horizontal="center" vertical="center"/>
      <protection hidden="1"/>
    </xf>
    <xf numFmtId="9" fontId="22" fillId="0" borderId="4" xfId="0" applyNumberFormat="1" applyFont="1" applyBorder="1" applyAlignment="1" applyProtection="1">
      <alignment vertical="center"/>
      <protection hidden="1"/>
    </xf>
    <xf numFmtId="9" fontId="22" fillId="0" borderId="5" xfId="0" applyNumberFormat="1" applyFont="1" applyBorder="1" applyAlignment="1" applyProtection="1">
      <alignment vertical="center"/>
      <protection hidden="1"/>
    </xf>
    <xf numFmtId="0" fontId="70" fillId="0" borderId="4" xfId="0" applyFont="1" applyBorder="1" applyAlignment="1" applyProtection="1">
      <alignment vertical="center" textRotation="90" wrapText="1"/>
      <protection hidden="1"/>
    </xf>
    <xf numFmtId="0" fontId="70" fillId="0" borderId="5" xfId="0" applyFont="1" applyBorder="1" applyAlignment="1" applyProtection="1">
      <alignment vertical="center" textRotation="90" wrapText="1"/>
      <protection hidden="1"/>
    </xf>
    <xf numFmtId="0" fontId="70" fillId="0" borderId="4" xfId="0" applyFont="1" applyBorder="1" applyAlignment="1" applyProtection="1">
      <alignment horizontal="center" vertical="center" textRotation="90"/>
      <protection hidden="1"/>
    </xf>
    <xf numFmtId="0" fontId="70" fillId="0" borderId="4" xfId="0" applyFont="1" applyBorder="1" applyAlignment="1" applyProtection="1">
      <alignment vertical="center" textRotation="90"/>
      <protection hidden="1"/>
    </xf>
    <xf numFmtId="0" fontId="70" fillId="0" borderId="5" xfId="0" applyFont="1" applyBorder="1" applyAlignment="1" applyProtection="1">
      <alignment vertical="center" textRotation="90"/>
      <protection hidden="1"/>
    </xf>
    <xf numFmtId="9" fontId="22" fillId="0" borderId="8" xfId="0" applyNumberFormat="1" applyFont="1" applyBorder="1" applyAlignment="1" applyProtection="1">
      <alignment vertical="center"/>
      <protection hidden="1"/>
    </xf>
    <xf numFmtId="0" fontId="70" fillId="0" borderId="8" xfId="0" applyFont="1" applyBorder="1" applyAlignment="1" applyProtection="1">
      <alignment vertical="center" textRotation="90"/>
      <protection hidden="1"/>
    </xf>
    <xf numFmtId="0" fontId="22" fillId="0" borderId="8" xfId="0" applyFont="1" applyBorder="1" applyAlignment="1" applyProtection="1">
      <alignment vertical="center" textRotation="90"/>
      <protection locked="0"/>
    </xf>
    <xf numFmtId="0" fontId="70" fillId="0" borderId="8" xfId="0" applyFont="1" applyBorder="1" applyAlignment="1" applyProtection="1">
      <alignment vertical="center" textRotation="90" wrapText="1"/>
      <protection hidden="1"/>
    </xf>
    <xf numFmtId="0" fontId="22" fillId="3" borderId="0" xfId="0" applyFont="1" applyFill="1" applyAlignment="1">
      <alignment horizontal="center" vertical="center"/>
    </xf>
    <xf numFmtId="0" fontId="22" fillId="3" borderId="0" xfId="0" applyFont="1" applyFill="1" applyAlignment="1">
      <alignment horizontal="left" vertical="center"/>
    </xf>
    <xf numFmtId="0" fontId="22" fillId="3" borderId="0" xfId="0" applyFont="1" applyFill="1"/>
    <xf numFmtId="0" fontId="22" fillId="3" borderId="0" xfId="0" applyFont="1" applyFill="1" applyAlignment="1">
      <alignment horizontal="center"/>
    </xf>
    <xf numFmtId="0" fontId="22" fillId="3" borderId="0" xfId="0" applyFont="1" applyFill="1" applyAlignment="1">
      <alignment horizontal="justify" vertical="center"/>
    </xf>
    <xf numFmtId="0" fontId="70" fillId="18" borderId="2" xfId="0" applyFont="1" applyFill="1" applyBorder="1" applyAlignment="1">
      <alignment horizontal="center" vertical="center" textRotation="90"/>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pplyProtection="1">
      <alignment vertical="center" wrapText="1"/>
      <protection locked="0"/>
    </xf>
    <xf numFmtId="0" fontId="22" fillId="0" borderId="4" xfId="0" applyFont="1" applyBorder="1" applyAlignment="1" applyProtection="1">
      <alignment horizontal="center" vertical="center"/>
      <protection hidden="1"/>
    </xf>
    <xf numFmtId="164" fontId="22" fillId="0" borderId="2" xfId="1" applyNumberFormat="1" applyFont="1" applyBorder="1" applyAlignment="1">
      <alignment horizontal="center" vertical="center"/>
    </xf>
    <xf numFmtId="0" fontId="22" fillId="0" borderId="2" xfId="0" applyFont="1" applyBorder="1" applyAlignment="1" applyProtection="1">
      <alignment horizontal="center" vertical="center" wrapText="1"/>
      <protection locked="0"/>
    </xf>
    <xf numFmtId="0" fontId="22" fillId="0" borderId="8" xfId="0" applyFont="1" applyBorder="1" applyAlignment="1">
      <alignment horizontal="center" vertical="center"/>
    </xf>
    <xf numFmtId="0" fontId="22" fillId="0" borderId="2" xfId="0" applyFont="1" applyBorder="1" applyAlignment="1" applyProtection="1">
      <alignment horizontal="justify" vertical="center"/>
      <protection locked="0"/>
    </xf>
    <xf numFmtId="0" fontId="22" fillId="0" borderId="2" xfId="0" applyFont="1" applyBorder="1" applyAlignment="1" applyProtection="1">
      <alignment horizontal="center" vertical="top"/>
      <protection hidden="1"/>
    </xf>
    <xf numFmtId="9" fontId="22" fillId="0" borderId="2" xfId="0" applyNumberFormat="1" applyFont="1" applyBorder="1" applyAlignment="1" applyProtection="1">
      <alignment horizontal="center" vertical="top"/>
      <protection hidden="1"/>
    </xf>
    <xf numFmtId="164" fontId="22" fillId="0" borderId="2" xfId="1" applyNumberFormat="1" applyFont="1" applyBorder="1" applyAlignment="1">
      <alignment horizontal="center" vertical="top"/>
    </xf>
    <xf numFmtId="9" fontId="22" fillId="0" borderId="4" xfId="0" applyNumberFormat="1" applyFont="1" applyBorder="1" applyAlignment="1" applyProtection="1">
      <alignment horizontal="center" vertical="top"/>
      <protection hidden="1"/>
    </xf>
    <xf numFmtId="0" fontId="70" fillId="0" borderId="2" xfId="0" applyFont="1" applyBorder="1" applyAlignment="1" applyProtection="1">
      <alignment horizontal="center" vertical="top" textRotation="90" wrapText="1"/>
      <protection hidden="1"/>
    </xf>
    <xf numFmtId="0" fontId="70" fillId="0" borderId="2" xfId="0" applyFont="1" applyBorder="1" applyAlignment="1" applyProtection="1">
      <alignment horizontal="center" vertical="top" textRotation="90"/>
      <protection hidden="1"/>
    </xf>
    <xf numFmtId="0" fontId="22" fillId="0" borderId="4" xfId="0" applyFont="1" applyBorder="1" applyAlignment="1" applyProtection="1">
      <alignment horizontal="center" vertical="top" textRotation="90"/>
      <protection locked="0"/>
    </xf>
    <xf numFmtId="0" fontId="22" fillId="0" borderId="2" xfId="0" applyFont="1" applyBorder="1" applyAlignment="1">
      <alignment horizontal="center" vertical="top"/>
    </xf>
    <xf numFmtId="0" fontId="22" fillId="0" borderId="2" xfId="0" applyFont="1" applyBorder="1" applyAlignment="1" applyProtection="1">
      <alignment horizontal="center" vertical="top"/>
      <protection locked="0"/>
    </xf>
    <xf numFmtId="14" fontId="22" fillId="0" borderId="2" xfId="0" applyNumberFormat="1" applyFont="1" applyBorder="1" applyAlignment="1" applyProtection="1">
      <alignment horizontal="center" vertical="top"/>
      <protection locked="0"/>
    </xf>
    <xf numFmtId="0" fontId="22" fillId="0" borderId="2" xfId="0" applyFont="1" applyBorder="1" applyAlignment="1" applyProtection="1">
      <alignment horizontal="justify" vertical="center" wrapText="1"/>
      <protection locked="0"/>
    </xf>
    <xf numFmtId="0" fontId="22" fillId="0" borderId="5" xfId="0" applyFont="1" applyBorder="1" applyAlignment="1">
      <alignment horizontal="center" vertical="center"/>
    </xf>
    <xf numFmtId="0" fontId="22" fillId="3" borderId="2" xfId="0" applyFont="1" applyFill="1" applyBorder="1" applyAlignment="1" applyProtection="1">
      <alignment horizontal="justify" vertical="center" wrapText="1"/>
      <protection locked="0"/>
    </xf>
    <xf numFmtId="0" fontId="22" fillId="0" borderId="2" xfId="0" applyFont="1" applyBorder="1" applyAlignment="1" applyProtection="1">
      <alignment horizontal="center" vertical="center"/>
      <protection hidden="1"/>
    </xf>
    <xf numFmtId="0" fontId="22" fillId="0" borderId="2" xfId="0" applyFont="1" applyBorder="1" applyAlignment="1" applyProtection="1">
      <alignment horizontal="center" vertical="center" textRotation="90"/>
      <protection locked="0"/>
    </xf>
    <xf numFmtId="9" fontId="22" fillId="0" borderId="2" xfId="0" applyNumberFormat="1" applyFont="1" applyBorder="1" applyAlignment="1" applyProtection="1">
      <alignment horizontal="center" vertical="center"/>
      <protection hidden="1"/>
    </xf>
    <xf numFmtId="0" fontId="70" fillId="0" borderId="2" xfId="0" applyFont="1" applyBorder="1" applyAlignment="1" applyProtection="1">
      <alignment horizontal="center" vertical="center" textRotation="90" wrapText="1"/>
      <protection hidden="1"/>
    </xf>
    <xf numFmtId="0" fontId="70" fillId="0" borderId="2" xfId="0" applyFont="1" applyBorder="1" applyAlignment="1" applyProtection="1">
      <alignment horizontal="center" vertical="center" textRotation="90"/>
      <protection hidden="1"/>
    </xf>
    <xf numFmtId="0" fontId="22" fillId="0" borderId="4" xfId="0" applyFont="1" applyBorder="1" applyAlignment="1" applyProtection="1">
      <alignment vertical="center"/>
      <protection hidden="1"/>
    </xf>
    <xf numFmtId="0" fontId="22" fillId="0" borderId="5" xfId="0" applyFont="1" applyBorder="1" applyAlignment="1" applyProtection="1">
      <alignment vertical="center" wrapText="1"/>
      <protection locked="0"/>
    </xf>
    <xf numFmtId="0" fontId="22" fillId="0" borderId="8" xfId="0" applyFont="1" applyBorder="1" applyAlignment="1" applyProtection="1">
      <alignment vertical="center"/>
      <protection hidden="1"/>
    </xf>
    <xf numFmtId="0" fontId="22" fillId="0" borderId="5" xfId="0" applyFont="1" applyBorder="1" applyAlignment="1" applyProtection="1">
      <alignment vertical="center"/>
      <protection hidden="1"/>
    </xf>
    <xf numFmtId="164" fontId="22" fillId="0" borderId="2" xfId="1" applyNumberFormat="1" applyFont="1" applyFill="1" applyBorder="1" applyAlignment="1">
      <alignment horizontal="center" vertical="center"/>
    </xf>
    <xf numFmtId="0" fontId="22" fillId="0" borderId="6" xfId="0" applyFont="1" applyBorder="1" applyAlignment="1">
      <alignment horizontal="center" vertical="center"/>
    </xf>
    <xf numFmtId="0" fontId="57" fillId="0" borderId="55" xfId="0" applyFont="1" applyBorder="1" applyAlignment="1">
      <alignment vertical="center" wrapText="1" readingOrder="1"/>
    </xf>
    <xf numFmtId="0" fontId="57" fillId="0" borderId="60" xfId="0" applyFont="1" applyBorder="1" applyAlignment="1">
      <alignment vertical="center" wrapText="1" readingOrder="1"/>
    </xf>
    <xf numFmtId="0" fontId="57" fillId="0" borderId="56" xfId="0" applyFont="1" applyBorder="1" applyAlignment="1">
      <alignment vertical="center" wrapText="1" readingOrder="1"/>
    </xf>
    <xf numFmtId="0" fontId="69" fillId="0" borderId="2" xfId="0" applyFont="1" applyBorder="1" applyAlignment="1" applyProtection="1">
      <alignment horizontal="center" vertical="center" wrapText="1"/>
      <protection locked="0"/>
    </xf>
    <xf numFmtId="0" fontId="19" fillId="0" borderId="0" xfId="0" applyFont="1"/>
    <xf numFmtId="17" fontId="19" fillId="0" borderId="0" xfId="0" applyNumberFormat="1" applyFont="1" applyAlignment="1">
      <alignment horizontal="center" vertical="center"/>
    </xf>
    <xf numFmtId="0" fontId="40" fillId="3" borderId="32" xfId="0" applyFont="1" applyFill="1" applyBorder="1" applyAlignment="1">
      <alignment horizontal="left" vertical="center" wrapText="1"/>
    </xf>
    <xf numFmtId="0" fontId="41" fillId="3" borderId="32" xfId="2" applyFont="1" applyFill="1" applyBorder="1" applyAlignment="1">
      <alignment horizontal="justify" vertical="center" wrapText="1"/>
    </xf>
    <xf numFmtId="0" fontId="40" fillId="3" borderId="32" xfId="3" applyFont="1" applyFill="1" applyBorder="1" applyAlignment="1">
      <alignment horizontal="left" vertical="top" wrapText="1" readingOrder="1"/>
    </xf>
    <xf numFmtId="0" fontId="35" fillId="0" borderId="32" xfId="2" quotePrefix="1" applyFont="1" applyBorder="1" applyAlignment="1">
      <alignment horizontal="left" vertical="center" wrapText="1"/>
    </xf>
    <xf numFmtId="0" fontId="37" fillId="3" borderId="32" xfId="2" quotePrefix="1" applyFont="1" applyFill="1" applyBorder="1" applyAlignment="1">
      <alignment horizontal="left" vertical="top" wrapText="1"/>
    </xf>
    <xf numFmtId="0" fontId="38" fillId="3" borderId="32" xfId="2" quotePrefix="1" applyFont="1" applyFill="1" applyBorder="1" applyAlignment="1">
      <alignment horizontal="left" vertical="top" wrapText="1"/>
    </xf>
    <xf numFmtId="0" fontId="2" fillId="3" borderId="32" xfId="2" quotePrefix="1" applyFont="1" applyFill="1" applyBorder="1" applyAlignment="1">
      <alignment horizontal="justify" vertical="center" wrapText="1"/>
    </xf>
    <xf numFmtId="0" fontId="35" fillId="3" borderId="32" xfId="2" quotePrefix="1" applyFont="1" applyFill="1" applyBorder="1" applyAlignment="1">
      <alignment horizontal="left" vertical="top" wrapText="1"/>
    </xf>
    <xf numFmtId="0" fontId="39" fillId="3" borderId="32" xfId="2" quotePrefix="1" applyFont="1" applyFill="1" applyBorder="1" applyAlignment="1">
      <alignment horizontal="center" vertical="top" wrapText="1"/>
    </xf>
    <xf numFmtId="0" fontId="40" fillId="15" borderId="32" xfId="3" applyFont="1" applyFill="1" applyBorder="1" applyAlignment="1">
      <alignment horizontal="center" vertical="center" wrapText="1"/>
    </xf>
    <xf numFmtId="0" fontId="40" fillId="15" borderId="32" xfId="2" applyFont="1" applyFill="1" applyBorder="1" applyAlignment="1">
      <alignment horizontal="center" vertical="center"/>
    </xf>
    <xf numFmtId="0" fontId="0" fillId="3" borderId="55" xfId="0" applyFill="1" applyBorder="1" applyAlignment="1">
      <alignment horizontal="center"/>
    </xf>
    <xf numFmtId="0" fontId="0" fillId="3" borderId="60" xfId="0" applyFill="1" applyBorder="1" applyAlignment="1">
      <alignment horizontal="center"/>
    </xf>
    <xf numFmtId="0" fontId="0" fillId="3" borderId="56" xfId="0" applyFill="1" applyBorder="1" applyAlignment="1">
      <alignment horizontal="center"/>
    </xf>
    <xf numFmtId="0" fontId="35" fillId="3" borderId="55" xfId="2" applyFont="1" applyFill="1" applyBorder="1" applyAlignment="1">
      <alignment horizontal="center"/>
    </xf>
    <xf numFmtId="0" fontId="35" fillId="3" borderId="60" xfId="2" applyFont="1" applyFill="1" applyBorder="1" applyAlignment="1">
      <alignment horizontal="center"/>
    </xf>
    <xf numFmtId="0" fontId="35" fillId="3" borderId="56" xfId="2" applyFont="1" applyFill="1" applyBorder="1" applyAlignment="1">
      <alignment horizontal="center"/>
    </xf>
    <xf numFmtId="0" fontId="0" fillId="3" borderId="32" xfId="0" applyFill="1" applyBorder="1" applyAlignment="1">
      <alignment horizontal="center"/>
    </xf>
    <xf numFmtId="0" fontId="51" fillId="3" borderId="32" xfId="0" applyFont="1" applyFill="1" applyBorder="1" applyAlignment="1">
      <alignment horizontal="center" vertical="center"/>
    </xf>
    <xf numFmtId="0" fontId="0" fillId="3" borderId="32" xfId="0" applyFill="1" applyBorder="1" applyAlignment="1">
      <alignment horizontal="center" vertical="center"/>
    </xf>
    <xf numFmtId="0" fontId="36" fillId="15" borderId="32" xfId="2" applyFont="1" applyFill="1" applyBorder="1" applyAlignment="1">
      <alignment horizontal="center" vertical="center" wrapText="1"/>
    </xf>
    <xf numFmtId="0" fontId="36" fillId="14" borderId="6" xfId="0" applyFont="1" applyFill="1" applyBorder="1" applyAlignment="1">
      <alignment horizontal="left" vertical="center"/>
    </xf>
    <xf numFmtId="0" fontId="36" fillId="14" borderId="7" xfId="0" applyFont="1" applyFill="1" applyBorder="1" applyAlignment="1">
      <alignment horizontal="left" vertical="center"/>
    </xf>
    <xf numFmtId="0" fontId="71" fillId="14" borderId="27" xfId="0" applyFont="1" applyFill="1" applyBorder="1" applyAlignment="1">
      <alignment horizontal="center" vertical="center" wrapText="1"/>
    </xf>
    <xf numFmtId="0" fontId="71" fillId="14" borderId="28" xfId="0" applyFont="1" applyFill="1" applyBorder="1" applyAlignment="1">
      <alignment horizontal="center" vertical="center" wrapText="1"/>
    </xf>
    <xf numFmtId="0" fontId="71" fillId="14" borderId="29" xfId="0" applyFont="1" applyFill="1" applyBorder="1" applyAlignment="1">
      <alignment horizontal="center" vertical="center" wrapText="1"/>
    </xf>
    <xf numFmtId="0" fontId="71" fillId="14" borderId="9"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47" xfId="0" applyFont="1" applyFill="1" applyBorder="1" applyAlignment="1">
      <alignment horizontal="center" vertical="center" wrapText="1"/>
    </xf>
    <xf numFmtId="0" fontId="71" fillId="14" borderId="3" xfId="0" applyFont="1" applyFill="1" applyBorder="1" applyAlignment="1">
      <alignment horizontal="center" vertical="center" wrapText="1"/>
    </xf>
    <xf numFmtId="0" fontId="71" fillId="14" borderId="30" xfId="0" applyFont="1" applyFill="1" applyBorder="1" applyAlignment="1">
      <alignment horizontal="center" vertical="center" wrapText="1"/>
    </xf>
    <xf numFmtId="0" fontId="71" fillId="14" borderId="31" xfId="0" applyFont="1" applyFill="1" applyBorder="1" applyAlignment="1">
      <alignment horizontal="center" vertical="center" wrapText="1"/>
    </xf>
    <xf numFmtId="9" fontId="22" fillId="0" borderId="4" xfId="0" applyNumberFormat="1" applyFont="1" applyBorder="1" applyAlignment="1" applyProtection="1">
      <alignment horizontal="center" vertical="top" wrapText="1"/>
      <protection locked="0"/>
    </xf>
    <xf numFmtId="9" fontId="22" fillId="0" borderId="8" xfId="0" applyNumberFormat="1" applyFont="1" applyBorder="1" applyAlignment="1" applyProtection="1">
      <alignment horizontal="center" vertical="top" wrapText="1"/>
      <protection locked="0"/>
    </xf>
    <xf numFmtId="9" fontId="22" fillId="0" borderId="5" xfId="0" applyNumberFormat="1" applyFont="1" applyBorder="1" applyAlignment="1" applyProtection="1">
      <alignment horizontal="center" vertical="top" wrapText="1"/>
      <protection locked="0"/>
    </xf>
    <xf numFmtId="9" fontId="22" fillId="0" borderId="4" xfId="0" applyNumberFormat="1" applyFont="1" applyBorder="1" applyAlignment="1" applyProtection="1">
      <alignment horizontal="center" vertical="top" wrapText="1"/>
      <protection hidden="1"/>
    </xf>
    <xf numFmtId="9" fontId="22" fillId="0" borderId="8" xfId="0" applyNumberFormat="1" applyFont="1" applyBorder="1" applyAlignment="1" applyProtection="1">
      <alignment horizontal="center" vertical="top" wrapText="1"/>
      <protection hidden="1"/>
    </xf>
    <xf numFmtId="9" fontId="22" fillId="0" borderId="5" xfId="0" applyNumberFormat="1" applyFont="1" applyBorder="1" applyAlignment="1" applyProtection="1">
      <alignment horizontal="center" vertical="top" wrapText="1"/>
      <protection hidden="1"/>
    </xf>
    <xf numFmtId="0" fontId="70" fillId="0" borderId="4" xfId="0" applyFont="1" applyBorder="1" applyAlignment="1" applyProtection="1">
      <alignment horizontal="center" vertical="top" wrapText="1"/>
      <protection hidden="1"/>
    </xf>
    <xf numFmtId="0" fontId="70" fillId="0" borderId="8" xfId="0" applyFont="1" applyBorder="1" applyAlignment="1" applyProtection="1">
      <alignment horizontal="center" vertical="top" wrapText="1"/>
      <protection hidden="1"/>
    </xf>
    <xf numFmtId="0" fontId="70" fillId="0" borderId="5" xfId="0" applyFont="1" applyBorder="1" applyAlignment="1" applyProtection="1">
      <alignment horizontal="center" vertical="top" wrapText="1"/>
      <protection hidden="1"/>
    </xf>
    <xf numFmtId="0" fontId="70" fillId="0" borderId="4" xfId="0" applyFont="1" applyBorder="1" applyAlignment="1" applyProtection="1">
      <alignment horizontal="center" vertical="top"/>
      <protection hidden="1"/>
    </xf>
    <xf numFmtId="0" fontId="70" fillId="0" borderId="8" xfId="0" applyFont="1" applyBorder="1" applyAlignment="1" applyProtection="1">
      <alignment horizontal="center" vertical="top"/>
      <protection hidden="1"/>
    </xf>
    <xf numFmtId="0" fontId="70" fillId="0" borderId="5" xfId="0" applyFont="1" applyBorder="1" applyAlignment="1" applyProtection="1">
      <alignment horizontal="center" vertical="top"/>
      <protection hidden="1"/>
    </xf>
    <xf numFmtId="0" fontId="70" fillId="20" borderId="4" xfId="0" applyFont="1" applyFill="1" applyBorder="1" applyAlignment="1">
      <alignment horizontal="center" vertical="center" wrapText="1"/>
    </xf>
    <xf numFmtId="0" fontId="70" fillId="20" borderId="5" xfId="0" applyFont="1" applyFill="1" applyBorder="1" applyAlignment="1">
      <alignment horizontal="center" vertical="center" wrapText="1"/>
    </xf>
    <xf numFmtId="0" fontId="70" fillId="18" borderId="6" xfId="0" applyFont="1" applyFill="1" applyBorder="1" applyAlignment="1">
      <alignment horizontal="center" vertical="center"/>
    </xf>
    <xf numFmtId="0" fontId="70" fillId="18" borderId="10" xfId="0" applyFont="1" applyFill="1" applyBorder="1" applyAlignment="1">
      <alignment horizontal="center" vertical="center"/>
    </xf>
    <xf numFmtId="0" fontId="70" fillId="18" borderId="7" xfId="0" applyFont="1" applyFill="1" applyBorder="1" applyAlignment="1">
      <alignment horizontal="center" vertical="center"/>
    </xf>
    <xf numFmtId="0" fontId="70" fillId="19" borderId="6" xfId="0" applyFont="1" applyFill="1" applyBorder="1" applyAlignment="1">
      <alignment horizontal="center" vertical="center"/>
    </xf>
    <xf numFmtId="0" fontId="70" fillId="19" borderId="10" xfId="0" applyFont="1" applyFill="1" applyBorder="1" applyAlignment="1">
      <alignment horizontal="center" vertical="center"/>
    </xf>
    <xf numFmtId="0" fontId="70" fillId="19" borderId="7" xfId="0" applyFont="1" applyFill="1" applyBorder="1" applyAlignment="1">
      <alignment horizontal="center" vertical="center"/>
    </xf>
    <xf numFmtId="0" fontId="70" fillId="20" borderId="6" xfId="0" applyFont="1" applyFill="1" applyBorder="1" applyAlignment="1">
      <alignment horizontal="center" vertical="center"/>
    </xf>
    <xf numFmtId="0" fontId="70" fillId="20" borderId="10" xfId="0" applyFont="1" applyFill="1" applyBorder="1" applyAlignment="1">
      <alignment horizontal="center" vertical="center"/>
    </xf>
    <xf numFmtId="0" fontId="70" fillId="20" borderId="7" xfId="0" applyFont="1" applyFill="1" applyBorder="1" applyAlignment="1">
      <alignment horizontal="center" vertical="center"/>
    </xf>
    <xf numFmtId="9" fontId="22" fillId="0" borderId="4" xfId="0" applyNumberFormat="1" applyFont="1" applyBorder="1" applyAlignment="1" applyProtection="1">
      <alignment horizontal="center" vertical="center" wrapText="1"/>
      <protection hidden="1"/>
    </xf>
    <xf numFmtId="9" fontId="22" fillId="0" borderId="8" xfId="0" applyNumberFormat="1" applyFont="1" applyBorder="1" applyAlignment="1" applyProtection="1">
      <alignment horizontal="center" vertical="center" wrapText="1"/>
      <protection hidden="1"/>
    </xf>
    <xf numFmtId="9" fontId="22" fillId="0" borderId="5" xfId="0" applyNumberFormat="1" applyFont="1" applyBorder="1" applyAlignment="1" applyProtection="1">
      <alignment horizontal="center" vertical="center" wrapText="1"/>
      <protection hidden="1"/>
    </xf>
    <xf numFmtId="0" fontId="70" fillId="0" borderId="4" xfId="0" applyFont="1" applyBorder="1" applyAlignment="1" applyProtection="1">
      <alignment horizontal="center" vertical="center"/>
      <protection hidden="1"/>
    </xf>
    <xf numFmtId="0" fontId="70" fillId="0" borderId="8" xfId="0" applyFont="1" applyBorder="1" applyAlignment="1" applyProtection="1">
      <alignment horizontal="center" vertical="center"/>
      <protection hidden="1"/>
    </xf>
    <xf numFmtId="0" fontId="70" fillId="0" borderId="5" xfId="0" applyFont="1" applyBorder="1" applyAlignment="1" applyProtection="1">
      <alignment horizontal="center" vertical="center"/>
      <protection hidden="1"/>
    </xf>
    <xf numFmtId="9" fontId="22" fillId="0" borderId="4" xfId="0" applyNumberFormat="1" applyFont="1" applyBorder="1" applyAlignment="1" applyProtection="1">
      <alignment horizontal="center" vertical="center" wrapText="1"/>
      <protection locked="0"/>
    </xf>
    <xf numFmtId="9" fontId="22" fillId="0" borderId="8" xfId="0" applyNumberFormat="1" applyFont="1" applyBorder="1" applyAlignment="1" applyProtection="1">
      <alignment horizontal="center" vertical="center" wrapText="1"/>
      <protection locked="0"/>
    </xf>
    <xf numFmtId="9" fontId="22" fillId="0" borderId="5" xfId="0" applyNumberFormat="1"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hidden="1"/>
    </xf>
    <xf numFmtId="0" fontId="70" fillId="0" borderId="8" xfId="0" applyFont="1" applyBorder="1" applyAlignment="1" applyProtection="1">
      <alignment horizontal="center" vertical="center" wrapText="1"/>
      <protection hidden="1"/>
    </xf>
    <xf numFmtId="0" fontId="70" fillId="0" borderId="5" xfId="0" applyFont="1" applyBorder="1" applyAlignment="1" applyProtection="1">
      <alignment horizontal="center" vertical="center" wrapText="1"/>
      <protection hidden="1"/>
    </xf>
    <xf numFmtId="0" fontId="69" fillId="3" borderId="4" xfId="0" applyFont="1" applyFill="1" applyBorder="1" applyAlignment="1" applyProtection="1">
      <alignment horizontal="center" vertical="center" wrapText="1"/>
      <protection locked="0"/>
    </xf>
    <xf numFmtId="0" fontId="69" fillId="3" borderId="8" xfId="0" applyFont="1" applyFill="1" applyBorder="1" applyAlignment="1" applyProtection="1">
      <alignment horizontal="center" vertical="center" wrapText="1"/>
      <protection locked="0"/>
    </xf>
    <xf numFmtId="0" fontId="69" fillId="3" borderId="5"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9" borderId="4" xfId="0" applyFont="1" applyFill="1" applyBorder="1" applyAlignment="1" applyProtection="1">
      <alignment horizontal="center" vertical="center"/>
      <protection locked="0"/>
    </xf>
    <xf numFmtId="0" fontId="22" fillId="9" borderId="8" xfId="0" applyFont="1" applyFill="1" applyBorder="1" applyAlignment="1" applyProtection="1">
      <alignment horizontal="center" vertical="center"/>
      <protection locked="0"/>
    </xf>
    <xf numFmtId="0" fontId="22" fillId="9" borderId="5" xfId="0" applyFont="1" applyFill="1" applyBorder="1" applyAlignment="1" applyProtection="1">
      <alignment horizontal="center" vertical="center"/>
      <protection locked="0"/>
    </xf>
    <xf numFmtId="0" fontId="22" fillId="0" borderId="4"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0" xfId="0" applyFont="1" applyFill="1" applyAlignment="1">
      <alignment horizontal="center" vertical="center"/>
    </xf>
    <xf numFmtId="0" fontId="19" fillId="3" borderId="47"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22" fillId="0" borderId="4" xfId="0" applyFont="1" applyBorder="1" applyAlignment="1" applyProtection="1">
      <alignment horizontal="center" vertical="top" wrapText="1"/>
      <protection locked="0"/>
    </xf>
    <xf numFmtId="0" fontId="22" fillId="0" borderId="8" xfId="0" applyFont="1" applyBorder="1" applyAlignment="1" applyProtection="1">
      <alignment horizontal="center" vertical="top" wrapText="1"/>
      <protection locked="0"/>
    </xf>
    <xf numFmtId="0" fontId="22" fillId="0" borderId="5" xfId="0" applyFont="1" applyBorder="1" applyAlignment="1" applyProtection="1">
      <alignment horizontal="center" vertical="top" wrapText="1"/>
      <protection locked="0"/>
    </xf>
    <xf numFmtId="0" fontId="69" fillId="0" borderId="4" xfId="0" applyFont="1" applyBorder="1" applyAlignment="1" applyProtection="1">
      <alignment horizontal="center" vertical="top" wrapText="1"/>
      <protection locked="0"/>
    </xf>
    <xf numFmtId="0" fontId="69" fillId="0" borderId="8" xfId="0" applyFont="1" applyBorder="1" applyAlignment="1" applyProtection="1">
      <alignment horizontal="center" vertical="top" wrapText="1"/>
      <protection locked="0"/>
    </xf>
    <xf numFmtId="0" fontId="69" fillId="0" borderId="5" xfId="0" applyFont="1" applyBorder="1" applyAlignment="1" applyProtection="1">
      <alignment horizontal="center" vertical="top" wrapText="1"/>
      <protection locked="0"/>
    </xf>
    <xf numFmtId="0" fontId="70" fillId="16" borderId="6" xfId="0" applyFont="1" applyFill="1" applyBorder="1" applyAlignment="1">
      <alignment horizontal="center" vertical="center"/>
    </xf>
    <xf numFmtId="0" fontId="70" fillId="16" borderId="10" xfId="0" applyFont="1" applyFill="1" applyBorder="1" applyAlignment="1">
      <alignment horizontal="center" vertical="center"/>
    </xf>
    <xf numFmtId="0" fontId="70" fillId="16" borderId="7" xfId="0" applyFont="1" applyFill="1" applyBorder="1" applyAlignment="1">
      <alignment horizontal="center" vertical="center"/>
    </xf>
    <xf numFmtId="0" fontId="25" fillId="0" borderId="63"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7" xfId="0" applyFont="1" applyBorder="1" applyAlignment="1">
      <alignment horizontal="center" vertical="center" wrapText="1"/>
    </xf>
    <xf numFmtId="0" fontId="69" fillId="0" borderId="66" xfId="0" applyFont="1" applyBorder="1" applyAlignment="1">
      <alignment horizontal="center" vertical="center" wrapText="1"/>
    </xf>
    <xf numFmtId="0" fontId="69" fillId="0" borderId="61" xfId="0" applyFont="1" applyBorder="1" applyAlignment="1">
      <alignment horizontal="center" vertical="center" wrapText="1"/>
    </xf>
    <xf numFmtId="0" fontId="69"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69" xfId="0" applyFont="1" applyBorder="1" applyAlignment="1">
      <alignment horizontal="center" vertical="center" wrapText="1"/>
    </xf>
    <xf numFmtId="0" fontId="25" fillId="0" borderId="70" xfId="0" applyFont="1" applyBorder="1" applyAlignment="1">
      <alignment horizontal="center" vertical="center" wrapText="1"/>
    </xf>
    <xf numFmtId="0" fontId="22" fillId="0" borderId="4" xfId="0" applyFont="1" applyBorder="1" applyAlignment="1">
      <alignment horizontal="center" vertical="center" textRotation="90"/>
    </xf>
    <xf numFmtId="0" fontId="22" fillId="0" borderId="8" xfId="0" applyFont="1" applyBorder="1" applyAlignment="1">
      <alignment horizontal="center" vertical="center" textRotation="90"/>
    </xf>
    <xf numFmtId="0" fontId="22" fillId="0" borderId="5" xfId="0" applyFont="1" applyBorder="1" applyAlignment="1">
      <alignment horizontal="center" vertical="center" textRotation="90"/>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22" fillId="9" borderId="4" xfId="0" applyFont="1" applyFill="1" applyBorder="1" applyAlignment="1" applyProtection="1">
      <alignment horizontal="center" vertical="top"/>
      <protection locked="0"/>
    </xf>
    <xf numFmtId="0" fontId="22" fillId="9" borderId="8" xfId="0" applyFont="1" applyFill="1" applyBorder="1" applyAlignment="1" applyProtection="1">
      <alignment horizontal="center" vertical="top"/>
      <protection locked="0"/>
    </xf>
    <xf numFmtId="0" fontId="22" fillId="9" borderId="5" xfId="0" applyFont="1" applyFill="1" applyBorder="1" applyAlignment="1" applyProtection="1">
      <alignment horizontal="center" vertical="top"/>
      <protection locked="0"/>
    </xf>
    <xf numFmtId="0" fontId="69" fillId="9" borderId="4" xfId="0" applyFont="1" applyFill="1" applyBorder="1" applyAlignment="1" applyProtection="1">
      <alignment horizontal="center" vertical="center"/>
      <protection locked="0"/>
    </xf>
    <xf numFmtId="0" fontId="69" fillId="9" borderId="8" xfId="0" applyFont="1" applyFill="1" applyBorder="1" applyAlignment="1" applyProtection="1">
      <alignment horizontal="center" vertical="center"/>
      <protection locked="0"/>
    </xf>
    <xf numFmtId="0" fontId="69" fillId="9" borderId="5" xfId="0" applyFont="1" applyFill="1" applyBorder="1" applyAlignment="1" applyProtection="1">
      <alignment horizontal="center" vertical="center"/>
      <protection locked="0"/>
    </xf>
    <xf numFmtId="0" fontId="70" fillId="2" borderId="6" xfId="0" applyFont="1" applyFill="1" applyBorder="1" applyAlignment="1">
      <alignment horizontal="left" vertical="center"/>
    </xf>
    <xf numFmtId="0" fontId="70" fillId="2" borderId="10" xfId="0" applyFont="1" applyFill="1" applyBorder="1" applyAlignment="1">
      <alignment horizontal="left" vertical="center"/>
    </xf>
    <xf numFmtId="0" fontId="70" fillId="2" borderId="7" xfId="0" applyFont="1" applyFill="1" applyBorder="1" applyAlignment="1">
      <alignment horizontal="left" vertical="center"/>
    </xf>
    <xf numFmtId="0" fontId="70" fillId="16" borderId="4" xfId="0" applyFont="1" applyFill="1" applyBorder="1" applyAlignment="1">
      <alignment horizontal="center" vertical="center" textRotation="90"/>
    </xf>
    <xf numFmtId="0" fontId="70" fillId="16" borderId="5" xfId="0" applyFont="1" applyFill="1" applyBorder="1" applyAlignment="1">
      <alignment horizontal="center" vertical="center" textRotation="90"/>
    </xf>
    <xf numFmtId="0" fontId="70" fillId="16" borderId="4" xfId="0" applyFont="1" applyFill="1" applyBorder="1" applyAlignment="1">
      <alignment horizontal="center" vertical="center" wrapText="1"/>
    </xf>
    <xf numFmtId="0" fontId="70" fillId="16" borderId="5" xfId="0" applyFont="1" applyFill="1" applyBorder="1" applyAlignment="1">
      <alignment horizontal="center" vertical="center" wrapText="1"/>
    </xf>
    <xf numFmtId="0" fontId="70" fillId="16" borderId="5" xfId="0" applyFont="1" applyFill="1" applyBorder="1" applyAlignment="1">
      <alignment horizontal="center" vertical="center"/>
    </xf>
    <xf numFmtId="0" fontId="70" fillId="16" borderId="2" xfId="0" applyFont="1" applyFill="1" applyBorder="1" applyAlignment="1">
      <alignment horizontal="center" vertical="center"/>
    </xf>
    <xf numFmtId="0" fontId="70" fillId="16" borderId="2" xfId="0" applyFont="1" applyFill="1" applyBorder="1" applyAlignment="1">
      <alignment horizontal="center" vertical="center" wrapText="1"/>
    </xf>
    <xf numFmtId="0" fontId="22" fillId="3" borderId="6" xfId="0" applyFont="1" applyFill="1" applyBorder="1" applyAlignment="1" applyProtection="1">
      <alignment horizontal="left" vertical="center" wrapText="1"/>
      <protection locked="0"/>
    </xf>
    <xf numFmtId="0" fontId="22" fillId="3" borderId="10"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70" fillId="17" borderId="6" xfId="0" applyFont="1" applyFill="1" applyBorder="1" applyAlignment="1">
      <alignment horizontal="center" vertical="center"/>
    </xf>
    <xf numFmtId="0" fontId="70" fillId="17" borderId="10" xfId="0" applyFont="1" applyFill="1" applyBorder="1" applyAlignment="1">
      <alignment horizontal="center" vertical="center"/>
    </xf>
    <xf numFmtId="0" fontId="70" fillId="17" borderId="7" xfId="0" applyFont="1" applyFill="1" applyBorder="1" applyAlignment="1">
      <alignment horizontal="center" vertical="center"/>
    </xf>
    <xf numFmtId="0" fontId="70" fillId="19" borderId="4" xfId="0" applyFont="1" applyFill="1" applyBorder="1" applyAlignment="1">
      <alignment horizontal="center" vertical="center" textRotation="90" wrapText="1"/>
    </xf>
    <xf numFmtId="0" fontId="70" fillId="19" borderId="5" xfId="0" applyFont="1" applyFill="1" applyBorder="1" applyAlignment="1">
      <alignment horizontal="center" vertical="center" textRotation="90" wrapText="1"/>
    </xf>
    <xf numFmtId="0" fontId="70" fillId="18" borderId="4" xfId="0" applyFont="1" applyFill="1" applyBorder="1" applyAlignment="1">
      <alignment horizontal="center" vertical="center" textRotation="90" wrapText="1"/>
    </xf>
    <xf numFmtId="0" fontId="70" fillId="18" borderId="5" xfId="0" applyFont="1" applyFill="1" applyBorder="1" applyAlignment="1">
      <alignment horizontal="center" vertical="center" textRotation="90" wrapText="1"/>
    </xf>
    <xf numFmtId="0" fontId="70" fillId="19" borderId="2" xfId="0" applyFont="1" applyFill="1" applyBorder="1" applyAlignment="1">
      <alignment horizontal="center" vertical="center" textRotation="90" wrapText="1"/>
    </xf>
    <xf numFmtId="0" fontId="70" fillId="18" borderId="2" xfId="0" applyFont="1" applyFill="1" applyBorder="1" applyAlignment="1">
      <alignment horizontal="center" vertical="center" wrapText="1"/>
    </xf>
    <xf numFmtId="0" fontId="70" fillId="17" borderId="5" xfId="0" applyFont="1" applyFill="1" applyBorder="1" applyAlignment="1">
      <alignment horizontal="center" vertical="center" wrapText="1"/>
    </xf>
    <xf numFmtId="0" fontId="70" fillId="17" borderId="2" xfId="0" applyFont="1" applyFill="1" applyBorder="1" applyAlignment="1">
      <alignment horizontal="center" vertical="center" wrapText="1"/>
    </xf>
    <xf numFmtId="0" fontId="70" fillId="17" borderId="4" xfId="0" applyFont="1" applyFill="1" applyBorder="1" applyAlignment="1">
      <alignment horizontal="center" vertical="center" wrapText="1"/>
    </xf>
    <xf numFmtId="0" fontId="70" fillId="17" borderId="9" xfId="0" applyFont="1" applyFill="1" applyBorder="1" applyAlignment="1">
      <alignment horizontal="center" vertical="center" wrapText="1"/>
    </xf>
    <xf numFmtId="0" fontId="70" fillId="17" borderId="3" xfId="0" applyFont="1" applyFill="1" applyBorder="1" applyAlignment="1">
      <alignment horizontal="center" vertical="center"/>
    </xf>
    <xf numFmtId="0" fontId="70" fillId="17" borderId="9" xfId="0" applyFont="1" applyFill="1" applyBorder="1" applyAlignment="1">
      <alignment horizontal="center" vertical="center"/>
    </xf>
    <xf numFmtId="0" fontId="70" fillId="18" borderId="4" xfId="0" applyFont="1" applyFill="1" applyBorder="1" applyAlignment="1">
      <alignment horizontal="center" vertical="center" wrapText="1"/>
    </xf>
    <xf numFmtId="0" fontId="70" fillId="18" borderId="5" xfId="0" applyFont="1" applyFill="1" applyBorder="1" applyAlignment="1">
      <alignment horizontal="center" vertical="center" wrapText="1"/>
    </xf>
    <xf numFmtId="0" fontId="70" fillId="20" borderId="2" xfId="0" applyFont="1" applyFill="1" applyBorder="1" applyAlignment="1">
      <alignment horizontal="center" vertical="center" wrapText="1"/>
    </xf>
    <xf numFmtId="0" fontId="70" fillId="17" borderId="8" xfId="0" applyFont="1" applyFill="1" applyBorder="1" applyAlignment="1">
      <alignment horizontal="center" vertical="center" wrapText="1"/>
    </xf>
    <xf numFmtId="0" fontId="22" fillId="0" borderId="4" xfId="0" applyFont="1" applyBorder="1" applyAlignment="1">
      <alignment horizontal="center" vertical="center" textRotation="90" wrapText="1"/>
    </xf>
    <xf numFmtId="0" fontId="22" fillId="0" borderId="8" xfId="0" applyFont="1" applyBorder="1" applyAlignment="1">
      <alignment horizontal="center" vertical="center" textRotation="90" wrapText="1"/>
    </xf>
    <xf numFmtId="0" fontId="22" fillId="0" borderId="5" xfId="0" applyFont="1" applyBorder="1" applyAlignment="1">
      <alignment horizontal="center" vertical="center" textRotation="90" wrapText="1"/>
    </xf>
    <xf numFmtId="0" fontId="12" fillId="10" borderId="0" xfId="0" applyFont="1" applyFill="1" applyAlignment="1">
      <alignment horizontal="center" vertical="center" textRotation="90" wrapText="1" readingOrder="1"/>
    </xf>
    <xf numFmtId="0" fontId="12" fillId="10" borderId="14" xfId="0" applyFont="1" applyFill="1" applyBorder="1" applyAlignment="1">
      <alignment horizontal="center" vertical="center" textRotation="90" wrapText="1" readingOrder="1"/>
    </xf>
    <xf numFmtId="0" fontId="15" fillId="12" borderId="19" xfId="0" applyFont="1" applyFill="1" applyBorder="1" applyAlignment="1">
      <alignment horizontal="center" vertical="center" wrapText="1" readingOrder="1"/>
    </xf>
    <xf numFmtId="0" fontId="15" fillId="12" borderId="20" xfId="0" applyFont="1" applyFill="1" applyBorder="1" applyAlignment="1">
      <alignment horizontal="center" vertical="center" wrapText="1" readingOrder="1"/>
    </xf>
    <xf numFmtId="0" fontId="15" fillId="12" borderId="21" xfId="0" applyFont="1" applyFill="1" applyBorder="1" applyAlignment="1">
      <alignment horizontal="center" vertical="center" wrapText="1" readingOrder="1"/>
    </xf>
    <xf numFmtId="0" fontId="15" fillId="12" borderId="22" xfId="0" applyFont="1" applyFill="1" applyBorder="1" applyAlignment="1">
      <alignment horizontal="center" vertical="center" wrapText="1" readingOrder="1"/>
    </xf>
    <xf numFmtId="0" fontId="15" fillId="12" borderId="0" xfId="0" applyFont="1" applyFill="1" applyAlignment="1">
      <alignment horizontal="center" vertical="center" wrapText="1" readingOrder="1"/>
    </xf>
    <xf numFmtId="0" fontId="15" fillId="12" borderId="23" xfId="0" applyFont="1" applyFill="1" applyBorder="1" applyAlignment="1">
      <alignment horizontal="center" vertical="center" wrapText="1" readingOrder="1"/>
    </xf>
    <xf numFmtId="0" fontId="15" fillId="12" borderId="24" xfId="0" applyFont="1" applyFill="1" applyBorder="1" applyAlignment="1">
      <alignment horizontal="center" vertical="center" wrapText="1" readingOrder="1"/>
    </xf>
    <xf numFmtId="0" fontId="15" fillId="12" borderId="25" xfId="0" applyFont="1" applyFill="1" applyBorder="1" applyAlignment="1">
      <alignment horizontal="center" vertical="center" wrapText="1" readingOrder="1"/>
    </xf>
    <xf numFmtId="0" fontId="15" fillId="12" borderId="26" xfId="0" applyFont="1" applyFill="1" applyBorder="1" applyAlignment="1">
      <alignment horizontal="center" vertical="center" wrapText="1" readingOrder="1"/>
    </xf>
    <xf numFmtId="0" fontId="15" fillId="11" borderId="19" xfId="0" applyFont="1" applyFill="1" applyBorder="1" applyAlignment="1">
      <alignment horizontal="center" vertical="center" wrapText="1" readingOrder="1"/>
    </xf>
    <xf numFmtId="0" fontId="15" fillId="11" borderId="20" xfId="0" applyFont="1" applyFill="1" applyBorder="1" applyAlignment="1">
      <alignment horizontal="center" vertical="center" wrapText="1" readingOrder="1"/>
    </xf>
    <xf numFmtId="0" fontId="15" fillId="11" borderId="21" xfId="0" applyFont="1" applyFill="1" applyBorder="1" applyAlignment="1">
      <alignment horizontal="center" vertical="center" wrapText="1" readingOrder="1"/>
    </xf>
    <xf numFmtId="0" fontId="15" fillId="11" borderId="22" xfId="0" applyFont="1" applyFill="1" applyBorder="1" applyAlignment="1">
      <alignment horizontal="center" vertical="center" wrapText="1" readingOrder="1"/>
    </xf>
    <xf numFmtId="0" fontId="15" fillId="11" borderId="0" xfId="0" applyFont="1" applyFill="1" applyAlignment="1">
      <alignment horizontal="center" vertical="center" wrapText="1" readingOrder="1"/>
    </xf>
    <xf numFmtId="0" fontId="15" fillId="11" borderId="23" xfId="0" applyFont="1" applyFill="1" applyBorder="1" applyAlignment="1">
      <alignment horizontal="center" vertical="center" wrapText="1" readingOrder="1"/>
    </xf>
    <xf numFmtId="0" fontId="15" fillId="11" borderId="24" xfId="0" applyFont="1" applyFill="1" applyBorder="1" applyAlignment="1">
      <alignment horizontal="center" vertical="center" wrapText="1" readingOrder="1"/>
    </xf>
    <xf numFmtId="0" fontId="15" fillId="11" borderId="25" xfId="0" applyFont="1" applyFill="1" applyBorder="1" applyAlignment="1">
      <alignment horizontal="center" vertical="center" wrapText="1" readingOrder="1"/>
    </xf>
    <xf numFmtId="0" fontId="15" fillId="11" borderId="26" xfId="0" applyFont="1" applyFill="1" applyBorder="1" applyAlignment="1">
      <alignment horizontal="center" vertical="center" wrapText="1" readingOrder="1"/>
    </xf>
    <xf numFmtId="0" fontId="15" fillId="13" borderId="19" xfId="0" applyFont="1" applyFill="1" applyBorder="1" applyAlignment="1">
      <alignment horizontal="center" vertical="center" wrapText="1" readingOrder="1"/>
    </xf>
    <xf numFmtId="0" fontId="15" fillId="13" borderId="20" xfId="0" applyFont="1" applyFill="1" applyBorder="1" applyAlignment="1">
      <alignment horizontal="center" vertical="center" wrapText="1" readingOrder="1"/>
    </xf>
    <xf numFmtId="0" fontId="15" fillId="13" borderId="21" xfId="0" applyFont="1" applyFill="1" applyBorder="1" applyAlignment="1">
      <alignment horizontal="center" vertical="center" wrapText="1" readingOrder="1"/>
    </xf>
    <xf numFmtId="0" fontId="15" fillId="13" borderId="22" xfId="0" applyFont="1" applyFill="1" applyBorder="1" applyAlignment="1">
      <alignment horizontal="center" vertical="center" wrapText="1" readingOrder="1"/>
    </xf>
    <xf numFmtId="0" fontId="15" fillId="13" borderId="0" xfId="0" applyFont="1" applyFill="1" applyAlignment="1">
      <alignment horizontal="center" vertical="center" wrapText="1" readingOrder="1"/>
    </xf>
    <xf numFmtId="0" fontId="15" fillId="13" borderId="23" xfId="0" applyFont="1" applyFill="1" applyBorder="1" applyAlignment="1">
      <alignment horizontal="center" vertical="center" wrapText="1" readingOrder="1"/>
    </xf>
    <xf numFmtId="0" fontId="15" fillId="13" borderId="24" xfId="0" applyFont="1" applyFill="1" applyBorder="1" applyAlignment="1">
      <alignment horizontal="center" vertical="center" wrapText="1" readingOrder="1"/>
    </xf>
    <xf numFmtId="0" fontId="15" fillId="13" borderId="25" xfId="0" applyFont="1" applyFill="1" applyBorder="1" applyAlignment="1">
      <alignment horizontal="center" vertical="center" wrapText="1" readingOrder="1"/>
    </xf>
    <xf numFmtId="0" fontId="15" fillId="13" borderId="26" xfId="0" applyFont="1" applyFill="1" applyBorder="1" applyAlignment="1">
      <alignment horizontal="center" vertical="center" wrapText="1" readingOrder="1"/>
    </xf>
    <xf numFmtId="0" fontId="15" fillId="5" borderId="19" xfId="0" applyFont="1" applyFill="1" applyBorder="1" applyAlignment="1">
      <alignment horizontal="center" vertical="center" wrapText="1" readingOrder="1"/>
    </xf>
    <xf numFmtId="0" fontId="15" fillId="5" borderId="20" xfId="0" applyFont="1" applyFill="1" applyBorder="1" applyAlignment="1">
      <alignment horizontal="center" vertical="center" wrapText="1" readingOrder="1"/>
    </xf>
    <xf numFmtId="0" fontId="15" fillId="5" borderId="21" xfId="0" applyFont="1" applyFill="1" applyBorder="1" applyAlignment="1">
      <alignment horizontal="center" vertical="center" wrapText="1" readingOrder="1"/>
    </xf>
    <xf numFmtId="0" fontId="15" fillId="5" borderId="22" xfId="0" applyFont="1" applyFill="1" applyBorder="1" applyAlignment="1">
      <alignment horizontal="center" vertical="center" wrapText="1" readingOrder="1"/>
    </xf>
    <xf numFmtId="0" fontId="15" fillId="5" borderId="0" xfId="0" applyFont="1" applyFill="1" applyAlignment="1">
      <alignment horizontal="center" vertical="center" wrapText="1" readingOrder="1"/>
    </xf>
    <xf numFmtId="0" fontId="15" fillId="5" borderId="23" xfId="0" applyFont="1" applyFill="1" applyBorder="1" applyAlignment="1">
      <alignment horizontal="center" vertical="center" wrapText="1" readingOrder="1"/>
    </xf>
    <xf numFmtId="0" fontId="15" fillId="5" borderId="24" xfId="0" applyFont="1" applyFill="1" applyBorder="1" applyAlignment="1">
      <alignment horizontal="center" vertical="center" wrapText="1" readingOrder="1"/>
    </xf>
    <xf numFmtId="0" fontId="15" fillId="5" borderId="25" xfId="0" applyFont="1" applyFill="1" applyBorder="1" applyAlignment="1">
      <alignment horizontal="center" vertical="center" wrapText="1" readingOrder="1"/>
    </xf>
    <xf numFmtId="0" fontId="15" fillId="5" borderId="26" xfId="0" applyFont="1" applyFill="1" applyBorder="1" applyAlignment="1">
      <alignment horizontal="center" vertical="center" wrapText="1" readingOrder="1"/>
    </xf>
    <xf numFmtId="0" fontId="11" fillId="0" borderId="11" xfId="0" applyFont="1" applyBorder="1" applyAlignment="1">
      <alignment horizontal="center" vertical="center" wrapText="1"/>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4" fillId="11" borderId="0" xfId="0" applyFont="1" applyFill="1" applyAlignment="1" applyProtection="1">
      <alignment horizontal="center" vertical="center" wrapText="1" readingOrder="1"/>
      <protection hidden="1"/>
    </xf>
    <xf numFmtId="0" fontId="14" fillId="11" borderId="14" xfId="0" applyFont="1" applyFill="1" applyBorder="1" applyAlignment="1" applyProtection="1">
      <alignment horizontal="center" vertical="center" wrapText="1" readingOrder="1"/>
      <protection hidden="1"/>
    </xf>
    <xf numFmtId="0" fontId="14" fillId="11" borderId="11" xfId="0" applyFont="1" applyFill="1" applyBorder="1" applyAlignment="1" applyProtection="1">
      <alignment horizontal="center" vertical="center" wrapText="1" readingOrder="1"/>
      <protection hidden="1"/>
    </xf>
    <xf numFmtId="0" fontId="14" fillId="11" borderId="18" xfId="0" applyFont="1" applyFill="1" applyBorder="1" applyAlignment="1" applyProtection="1">
      <alignment horizontal="center" vertical="center" wrapText="1" readingOrder="1"/>
      <protection hidden="1"/>
    </xf>
    <xf numFmtId="0" fontId="14" fillId="11" borderId="13" xfId="0" applyFont="1" applyFill="1" applyBorder="1" applyAlignment="1" applyProtection="1">
      <alignment horizontal="center" vertical="center" wrapText="1" readingOrder="1"/>
      <protection hidden="1"/>
    </xf>
    <xf numFmtId="0" fontId="14" fillId="11" borderId="12" xfId="0" applyFont="1" applyFill="1" applyBorder="1" applyAlignment="1" applyProtection="1">
      <alignment horizontal="center" vertical="center" wrapText="1" readingOrder="1"/>
      <protection hidden="1"/>
    </xf>
    <xf numFmtId="0" fontId="12" fillId="10" borderId="0" xfId="0" applyFont="1" applyFill="1" applyAlignment="1">
      <alignment horizontal="center" vertical="center" wrapText="1" readingOrder="1"/>
    </xf>
    <xf numFmtId="0" fontId="11" fillId="0" borderId="18" xfId="0" applyFont="1" applyBorder="1" applyAlignment="1">
      <alignment horizontal="center" vertical="center" wrapText="1"/>
    </xf>
    <xf numFmtId="0" fontId="14" fillId="11" borderId="15" xfId="0" applyFont="1" applyFill="1" applyBorder="1" applyAlignment="1" applyProtection="1">
      <alignment horizontal="center" vertical="center" wrapText="1" readingOrder="1"/>
      <protection hidden="1"/>
    </xf>
    <xf numFmtId="0" fontId="14" fillId="11" borderId="17" xfId="0" applyFont="1" applyFill="1" applyBorder="1" applyAlignment="1" applyProtection="1">
      <alignment horizontal="center" vertical="center" wrapText="1" readingOrder="1"/>
      <protection hidden="1"/>
    </xf>
    <xf numFmtId="0" fontId="14" fillId="11" borderId="16" xfId="0" applyFont="1" applyFill="1" applyBorder="1" applyAlignment="1" applyProtection="1">
      <alignment horizontal="center" vertical="center" wrapText="1" readingOrder="1"/>
      <protection hidden="1"/>
    </xf>
    <xf numFmtId="0" fontId="14" fillId="12" borderId="13" xfId="0" applyFont="1" applyFill="1" applyBorder="1" applyAlignment="1" applyProtection="1">
      <alignment horizontal="center" wrapText="1" readingOrder="1"/>
      <protection hidden="1"/>
    </xf>
    <xf numFmtId="0" fontId="14" fillId="12" borderId="0" xfId="0" applyFont="1" applyFill="1" applyAlignment="1" applyProtection="1">
      <alignment horizontal="center" wrapText="1" readingOrder="1"/>
      <protection hidden="1"/>
    </xf>
    <xf numFmtId="0" fontId="14" fillId="12" borderId="14" xfId="0" applyFont="1" applyFill="1" applyBorder="1" applyAlignment="1" applyProtection="1">
      <alignment horizontal="center" wrapText="1" readingOrder="1"/>
      <protection hidden="1"/>
    </xf>
    <xf numFmtId="0" fontId="14" fillId="12" borderId="15" xfId="0" applyFont="1" applyFill="1" applyBorder="1" applyAlignment="1" applyProtection="1">
      <alignment horizontal="center" wrapText="1" readingOrder="1"/>
      <protection hidden="1"/>
    </xf>
    <xf numFmtId="0" fontId="14" fillId="12" borderId="17" xfId="0" applyFont="1" applyFill="1" applyBorder="1" applyAlignment="1" applyProtection="1">
      <alignment horizontal="center" wrapText="1" readingOrder="1"/>
      <protection hidden="1"/>
    </xf>
    <xf numFmtId="0" fontId="14" fillId="12" borderId="16" xfId="0" applyFont="1" applyFill="1" applyBorder="1" applyAlignment="1" applyProtection="1">
      <alignment horizontal="center" wrapText="1" readingOrder="1"/>
      <protection hidden="1"/>
    </xf>
    <xf numFmtId="0" fontId="14" fillId="12" borderId="11" xfId="0" applyFont="1" applyFill="1" applyBorder="1" applyAlignment="1" applyProtection="1">
      <alignment horizontal="center" wrapText="1" readingOrder="1"/>
      <protection hidden="1"/>
    </xf>
    <xf numFmtId="0" fontId="14" fillId="12" borderId="18" xfId="0" applyFont="1" applyFill="1" applyBorder="1" applyAlignment="1" applyProtection="1">
      <alignment horizontal="center" wrapText="1" readingOrder="1"/>
      <protection hidden="1"/>
    </xf>
    <xf numFmtId="0" fontId="14" fillId="12" borderId="12" xfId="0" applyFont="1" applyFill="1" applyBorder="1" applyAlignment="1" applyProtection="1">
      <alignment horizontal="center" wrapText="1" readingOrder="1"/>
      <protection hidden="1"/>
    </xf>
    <xf numFmtId="0" fontId="14" fillId="13" borderId="13" xfId="0" applyFont="1" applyFill="1" applyBorder="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13" borderId="14" xfId="0" applyFont="1" applyFill="1" applyBorder="1" applyAlignment="1" applyProtection="1">
      <alignment horizontal="center" wrapText="1" readingOrder="1"/>
      <protection hidden="1"/>
    </xf>
    <xf numFmtId="0" fontId="14" fillId="13" borderId="15" xfId="0" applyFont="1" applyFill="1" applyBorder="1" applyAlignment="1" applyProtection="1">
      <alignment horizontal="center" wrapText="1" readingOrder="1"/>
      <protection hidden="1"/>
    </xf>
    <xf numFmtId="0" fontId="14" fillId="13" borderId="17" xfId="0" applyFont="1" applyFill="1" applyBorder="1" applyAlignment="1" applyProtection="1">
      <alignment horizontal="center" wrapText="1" readingOrder="1"/>
      <protection hidden="1"/>
    </xf>
    <xf numFmtId="0" fontId="14" fillId="13" borderId="16" xfId="0" applyFont="1" applyFill="1" applyBorder="1" applyAlignment="1" applyProtection="1">
      <alignment horizontal="center" wrapText="1" readingOrder="1"/>
      <protection hidden="1"/>
    </xf>
    <xf numFmtId="0" fontId="14" fillId="13" borderId="11" xfId="0" applyFont="1" applyFill="1" applyBorder="1" applyAlignment="1" applyProtection="1">
      <alignment horizontal="center" wrapText="1" readingOrder="1"/>
      <protection hidden="1"/>
    </xf>
    <xf numFmtId="0" fontId="14" fillId="13" borderId="18" xfId="0" applyFont="1" applyFill="1" applyBorder="1" applyAlignment="1" applyProtection="1">
      <alignment horizontal="center" wrapText="1" readingOrder="1"/>
      <protection hidden="1"/>
    </xf>
    <xf numFmtId="0" fontId="14" fillId="13" borderId="12" xfId="0" applyFont="1" applyFill="1" applyBorder="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14" fillId="5" borderId="14" xfId="0" applyFont="1" applyFill="1" applyBorder="1" applyAlignment="1" applyProtection="1">
      <alignment horizontal="center" wrapText="1" readingOrder="1"/>
      <protection hidden="1"/>
    </xf>
    <xf numFmtId="0" fontId="14" fillId="5" borderId="13" xfId="0" applyFont="1" applyFill="1" applyBorder="1" applyAlignment="1" applyProtection="1">
      <alignment horizontal="center" wrapText="1" readingOrder="1"/>
      <protection hidden="1"/>
    </xf>
    <xf numFmtId="0" fontId="14" fillId="5" borderId="15" xfId="0" applyFont="1" applyFill="1" applyBorder="1" applyAlignment="1" applyProtection="1">
      <alignment horizontal="center" wrapText="1" readingOrder="1"/>
      <protection hidden="1"/>
    </xf>
    <xf numFmtId="0" fontId="14" fillId="5" borderId="17" xfId="0" applyFont="1" applyFill="1" applyBorder="1" applyAlignment="1" applyProtection="1">
      <alignment horizontal="center" wrapText="1" readingOrder="1"/>
      <protection hidden="1"/>
    </xf>
    <xf numFmtId="0" fontId="14" fillId="5" borderId="16" xfId="0" applyFont="1" applyFill="1" applyBorder="1" applyAlignment="1" applyProtection="1">
      <alignment horizontal="center" wrapText="1" readingOrder="1"/>
      <protection hidden="1"/>
    </xf>
    <xf numFmtId="0" fontId="14" fillId="5" borderId="11" xfId="0" applyFont="1" applyFill="1" applyBorder="1" applyAlignment="1" applyProtection="1">
      <alignment horizontal="center" wrapText="1" readingOrder="1"/>
      <protection hidden="1"/>
    </xf>
    <xf numFmtId="0" fontId="14" fillId="5" borderId="18" xfId="0" applyFont="1" applyFill="1" applyBorder="1" applyAlignment="1" applyProtection="1">
      <alignment horizontal="center" wrapText="1" readingOrder="1"/>
      <protection hidden="1"/>
    </xf>
    <xf numFmtId="0" fontId="14" fillId="5" borderId="12" xfId="0" applyFont="1" applyFill="1" applyBorder="1" applyAlignment="1" applyProtection="1">
      <alignment horizontal="center" wrapText="1" readingOrder="1"/>
      <protection hidden="1"/>
    </xf>
    <xf numFmtId="0" fontId="18" fillId="0" borderId="0" xfId="0" applyFont="1" applyAlignment="1">
      <alignment horizontal="center" vertical="center" wrapText="1"/>
    </xf>
    <xf numFmtId="0" fontId="29" fillId="11" borderId="19" xfId="0" applyFont="1" applyFill="1" applyBorder="1" applyAlignment="1">
      <alignment horizontal="center" vertical="center" wrapText="1" readingOrder="1"/>
    </xf>
    <xf numFmtId="0" fontId="29" fillId="11" borderId="20" xfId="0" applyFont="1" applyFill="1" applyBorder="1" applyAlignment="1">
      <alignment horizontal="center" vertical="center" wrapText="1" readingOrder="1"/>
    </xf>
    <xf numFmtId="0" fontId="29" fillId="11" borderId="21" xfId="0" applyFont="1" applyFill="1" applyBorder="1" applyAlignment="1">
      <alignment horizontal="center" vertical="center" wrapText="1" readingOrder="1"/>
    </xf>
    <xf numFmtId="0" fontId="29" fillId="11" borderId="22" xfId="0" applyFont="1" applyFill="1" applyBorder="1" applyAlignment="1">
      <alignment horizontal="center" vertical="center" wrapText="1" readingOrder="1"/>
    </xf>
    <xf numFmtId="0" fontId="29" fillId="11" borderId="0" xfId="0" applyFont="1" applyFill="1" applyAlignment="1">
      <alignment horizontal="center" vertical="center" wrapText="1" readingOrder="1"/>
    </xf>
    <xf numFmtId="0" fontId="29" fillId="11" borderId="23" xfId="0" applyFont="1" applyFill="1" applyBorder="1" applyAlignment="1">
      <alignment horizontal="center" vertical="center" wrapText="1" readingOrder="1"/>
    </xf>
    <xf numFmtId="0" fontId="29" fillId="11" borderId="24" xfId="0" applyFont="1" applyFill="1" applyBorder="1" applyAlignment="1">
      <alignment horizontal="center" vertical="center" wrapText="1" readingOrder="1"/>
    </xf>
    <xf numFmtId="0" fontId="29" fillId="11" borderId="25" xfId="0" applyFont="1" applyFill="1" applyBorder="1" applyAlignment="1">
      <alignment horizontal="center" vertical="center" wrapText="1" readingOrder="1"/>
    </xf>
    <xf numFmtId="0" fontId="29" fillId="11" borderId="26" xfId="0" applyFont="1" applyFill="1" applyBorder="1" applyAlignment="1">
      <alignment horizontal="center" vertical="center" wrapText="1" readingOrder="1"/>
    </xf>
    <xf numFmtId="0" fontId="30" fillId="0" borderId="11" xfId="0" applyFont="1" applyBorder="1" applyAlignment="1">
      <alignment horizontal="center" vertical="center" wrapText="1"/>
    </xf>
    <xf numFmtId="0" fontId="30" fillId="0" borderId="18" xfId="0" applyFont="1" applyBorder="1" applyAlignment="1">
      <alignment horizontal="center" vertical="center"/>
    </xf>
    <xf numFmtId="0" fontId="30" fillId="0" borderId="13" xfId="0" applyFont="1" applyBorder="1" applyAlignment="1">
      <alignment horizontal="center" vertical="center" wrapText="1"/>
    </xf>
    <xf numFmtId="0" fontId="30" fillId="0" borderId="0" xfId="0" applyFont="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29" fillId="12" borderId="19" xfId="0" applyFont="1" applyFill="1" applyBorder="1" applyAlignment="1">
      <alignment horizontal="center" vertical="center" wrapText="1" readingOrder="1"/>
    </xf>
    <xf numFmtId="0" fontId="29" fillId="12" borderId="20" xfId="0" applyFont="1" applyFill="1" applyBorder="1" applyAlignment="1">
      <alignment horizontal="center" vertical="center" wrapText="1" readingOrder="1"/>
    </xf>
    <xf numFmtId="0" fontId="29" fillId="12" borderId="21" xfId="0" applyFont="1" applyFill="1" applyBorder="1" applyAlignment="1">
      <alignment horizontal="center" vertical="center" wrapText="1" readingOrder="1"/>
    </xf>
    <xf numFmtId="0" fontId="29" fillId="12" borderId="22" xfId="0" applyFont="1" applyFill="1" applyBorder="1" applyAlignment="1">
      <alignment horizontal="center" vertical="center" wrapText="1" readingOrder="1"/>
    </xf>
    <xf numFmtId="0" fontId="29" fillId="12" borderId="0" xfId="0" applyFont="1" applyFill="1" applyAlignment="1">
      <alignment horizontal="center" vertical="center" wrapText="1" readingOrder="1"/>
    </xf>
    <xf numFmtId="0" fontId="29" fillId="12" borderId="23" xfId="0" applyFont="1" applyFill="1" applyBorder="1" applyAlignment="1">
      <alignment horizontal="center" vertical="center" wrapText="1" readingOrder="1"/>
    </xf>
    <xf numFmtId="0" fontId="29" fillId="12" borderId="24" xfId="0" applyFont="1" applyFill="1" applyBorder="1" applyAlignment="1">
      <alignment horizontal="center" vertical="center" wrapText="1" readingOrder="1"/>
    </xf>
    <xf numFmtId="0" fontId="29" fillId="12" borderId="25" xfId="0" applyFont="1" applyFill="1" applyBorder="1" applyAlignment="1">
      <alignment horizontal="center" vertical="center" wrapText="1" readingOrder="1"/>
    </xf>
    <xf numFmtId="0" fontId="29" fillId="12" borderId="26" xfId="0" applyFont="1" applyFill="1" applyBorder="1" applyAlignment="1">
      <alignment horizontal="center" vertical="center" wrapText="1" readingOrder="1"/>
    </xf>
    <xf numFmtId="0" fontId="28" fillId="0" borderId="0" xfId="0" applyFont="1" applyAlignment="1">
      <alignment horizontal="center" vertical="center" wrapText="1"/>
    </xf>
    <xf numFmtId="0" fontId="16" fillId="0" borderId="0" xfId="0" applyFont="1" applyAlignment="1">
      <alignment horizontal="center" vertical="center" wrapText="1"/>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29" fillId="5" borderId="19" xfId="0" applyFont="1" applyFill="1" applyBorder="1" applyAlignment="1">
      <alignment horizontal="center" vertical="center" wrapText="1" readingOrder="1"/>
    </xf>
    <xf numFmtId="0" fontId="29" fillId="5" borderId="20" xfId="0" applyFont="1" applyFill="1" applyBorder="1" applyAlignment="1">
      <alignment horizontal="center" vertical="center" wrapText="1" readingOrder="1"/>
    </xf>
    <xf numFmtId="0" fontId="29" fillId="5" borderId="21" xfId="0" applyFont="1" applyFill="1" applyBorder="1" applyAlignment="1">
      <alignment horizontal="center" vertical="center" wrapText="1" readingOrder="1"/>
    </xf>
    <xf numFmtId="0" fontId="29" fillId="5" borderId="22" xfId="0" applyFont="1" applyFill="1" applyBorder="1" applyAlignment="1">
      <alignment horizontal="center" vertical="center" wrapText="1" readingOrder="1"/>
    </xf>
    <xf numFmtId="0" fontId="29" fillId="5" borderId="0" xfId="0" applyFont="1" applyFill="1" applyAlignment="1">
      <alignment horizontal="center" vertical="center" wrapText="1" readingOrder="1"/>
    </xf>
    <xf numFmtId="0" fontId="29" fillId="5" borderId="23" xfId="0" applyFont="1" applyFill="1" applyBorder="1" applyAlignment="1">
      <alignment horizontal="center" vertical="center" wrapText="1" readingOrder="1"/>
    </xf>
    <xf numFmtId="0" fontId="29" fillId="5" borderId="24" xfId="0" applyFont="1" applyFill="1" applyBorder="1" applyAlignment="1">
      <alignment horizontal="center" vertical="center" wrapText="1" readingOrder="1"/>
    </xf>
    <xf numFmtId="0" fontId="29" fillId="5" borderId="25" xfId="0" applyFont="1" applyFill="1" applyBorder="1" applyAlignment="1">
      <alignment horizontal="center" vertical="center" wrapText="1" readingOrder="1"/>
    </xf>
    <xf numFmtId="0" fontId="29" fillId="5" borderId="26" xfId="0" applyFont="1" applyFill="1" applyBorder="1" applyAlignment="1">
      <alignment horizontal="center" vertical="center" wrapText="1" readingOrder="1"/>
    </xf>
    <xf numFmtId="0" fontId="29" fillId="13" borderId="19" xfId="0" applyFont="1" applyFill="1" applyBorder="1" applyAlignment="1">
      <alignment horizontal="center" vertical="center" wrapText="1" readingOrder="1"/>
    </xf>
    <xf numFmtId="0" fontId="29" fillId="13" borderId="20" xfId="0" applyFont="1" applyFill="1" applyBorder="1" applyAlignment="1">
      <alignment horizontal="center" vertical="center" wrapText="1" readingOrder="1"/>
    </xf>
    <xf numFmtId="0" fontId="29" fillId="13" borderId="21" xfId="0" applyFont="1" applyFill="1" applyBorder="1" applyAlignment="1">
      <alignment horizontal="center" vertical="center" wrapText="1" readingOrder="1"/>
    </xf>
    <xf numFmtId="0" fontId="29" fillId="13" borderId="22" xfId="0" applyFont="1" applyFill="1" applyBorder="1" applyAlignment="1">
      <alignment horizontal="center" vertical="center" wrapText="1" readingOrder="1"/>
    </xf>
    <xf numFmtId="0" fontId="29" fillId="13" borderId="0" xfId="0" applyFont="1" applyFill="1" applyAlignment="1">
      <alignment horizontal="center" vertical="center" wrapText="1" readingOrder="1"/>
    </xf>
    <xf numFmtId="0" fontId="29" fillId="13" borderId="23" xfId="0" applyFont="1" applyFill="1" applyBorder="1" applyAlignment="1">
      <alignment horizontal="center" vertical="center" wrapText="1" readingOrder="1"/>
    </xf>
    <xf numFmtId="0" fontId="29" fillId="13" borderId="24" xfId="0" applyFont="1" applyFill="1" applyBorder="1" applyAlignment="1">
      <alignment horizontal="center" vertical="center" wrapText="1" readingOrder="1"/>
    </xf>
    <xf numFmtId="0" fontId="29" fillId="13" borderId="25" xfId="0" applyFont="1" applyFill="1" applyBorder="1" applyAlignment="1">
      <alignment horizontal="center" vertical="center" wrapText="1" readingOrder="1"/>
    </xf>
    <xf numFmtId="0" fontId="29" fillId="13" borderId="26" xfId="0" applyFont="1" applyFill="1" applyBorder="1" applyAlignment="1">
      <alignment horizontal="center" vertical="center" wrapText="1" readingOrder="1"/>
    </xf>
    <xf numFmtId="0" fontId="30" fillId="0" borderId="18" xfId="0" applyFont="1" applyBorder="1" applyAlignment="1">
      <alignment horizontal="center" vertical="center" wrapText="1"/>
    </xf>
    <xf numFmtId="0" fontId="63" fillId="0" borderId="32" xfId="0" applyFont="1" applyBorder="1" applyAlignment="1">
      <alignment horizontal="center" vertical="center"/>
    </xf>
    <xf numFmtId="0" fontId="53" fillId="0" borderId="54" xfId="0" applyFont="1" applyBorder="1" applyAlignment="1">
      <alignment horizontal="center"/>
    </xf>
    <xf numFmtId="0" fontId="53" fillId="0" borderId="51" xfId="0" applyFont="1" applyBorder="1" applyAlignment="1">
      <alignment horizontal="center"/>
    </xf>
    <xf numFmtId="0" fontId="53" fillId="0" borderId="33" xfId="0" applyFont="1" applyBorder="1" applyAlignment="1">
      <alignment horizontal="center"/>
    </xf>
    <xf numFmtId="0" fontId="51" fillId="0" borderId="54" xfId="0" applyFont="1" applyBorder="1" applyAlignment="1">
      <alignment horizontal="center" vertical="center"/>
    </xf>
    <xf numFmtId="0" fontId="53" fillId="0" borderId="51" xfId="0" applyFont="1" applyBorder="1" applyAlignment="1">
      <alignment horizontal="center" vertical="center"/>
    </xf>
    <xf numFmtId="0" fontId="53" fillId="0" borderId="33" xfId="0" applyFont="1" applyBorder="1" applyAlignment="1">
      <alignment horizontal="center" vertical="center"/>
    </xf>
    <xf numFmtId="0" fontId="55" fillId="6" borderId="55" xfId="0" applyFont="1" applyFill="1" applyBorder="1" applyAlignment="1">
      <alignment horizontal="center" vertical="center" wrapText="1" readingOrder="1"/>
    </xf>
    <xf numFmtId="0" fontId="55" fillId="6" borderId="60" xfId="0" applyFont="1" applyFill="1" applyBorder="1" applyAlignment="1">
      <alignment horizontal="center" vertical="center" wrapText="1" readingOrder="1"/>
    </xf>
    <xf numFmtId="0" fontId="55" fillId="6" borderId="56" xfId="0" applyFont="1" applyFill="1" applyBorder="1" applyAlignment="1">
      <alignment horizontal="center" vertical="center" wrapText="1" readingOrder="1"/>
    </xf>
    <xf numFmtId="0" fontId="54" fillId="0" borderId="32" xfId="0" applyFont="1" applyBorder="1" applyAlignment="1">
      <alignment horizontal="center" vertical="center"/>
    </xf>
    <xf numFmtId="0" fontId="53" fillId="0" borderId="32" xfId="0" applyFont="1" applyBorder="1" applyAlignment="1">
      <alignment horizontal="center"/>
    </xf>
    <xf numFmtId="0" fontId="52" fillId="0" borderId="57" xfId="0" applyFont="1" applyBorder="1" applyAlignment="1">
      <alignment horizontal="center" vertical="center"/>
    </xf>
    <xf numFmtId="0" fontId="52" fillId="0" borderId="44" xfId="0" applyFont="1" applyBorder="1" applyAlignment="1">
      <alignment horizontal="center" vertical="center"/>
    </xf>
    <xf numFmtId="0" fontId="52" fillId="0" borderId="58" xfId="0" applyFont="1" applyBorder="1" applyAlignment="1">
      <alignment horizontal="center" vertical="center"/>
    </xf>
    <xf numFmtId="0" fontId="52" fillId="0" borderId="46" xfId="0" applyFont="1" applyBorder="1" applyAlignment="1">
      <alignment horizontal="center" vertical="center"/>
    </xf>
    <xf numFmtId="0" fontId="52" fillId="0" borderId="59" xfId="0" applyFont="1" applyBorder="1" applyAlignment="1">
      <alignment horizontal="center" vertical="center"/>
    </xf>
    <xf numFmtId="0" fontId="52" fillId="0" borderId="45" xfId="0" applyFont="1" applyBorder="1" applyAlignment="1">
      <alignment horizontal="center" vertical="center"/>
    </xf>
    <xf numFmtId="0" fontId="5" fillId="3" borderId="32" xfId="0" applyFont="1" applyFill="1" applyBorder="1" applyAlignment="1">
      <alignment horizontal="center"/>
    </xf>
    <xf numFmtId="0" fontId="27" fillId="14" borderId="15" xfId="0" applyFont="1" applyFill="1" applyBorder="1" applyAlignment="1">
      <alignment horizontal="center" vertical="center" wrapText="1" readingOrder="1"/>
    </xf>
    <xf numFmtId="0" fontId="27" fillId="14" borderId="17" xfId="0" applyFont="1" applyFill="1" applyBorder="1" applyAlignment="1">
      <alignment horizontal="center" vertical="center" wrapText="1" readingOrder="1"/>
    </xf>
    <xf numFmtId="0" fontId="27" fillId="14" borderId="16" xfId="0" applyFont="1" applyFill="1" applyBorder="1" applyAlignment="1">
      <alignment horizontal="center" vertical="center" wrapText="1" readingOrder="1"/>
    </xf>
    <xf numFmtId="0" fontId="22" fillId="3" borderId="0" xfId="0" applyFont="1" applyFill="1" applyAlignment="1">
      <alignment horizontal="justify" vertical="center" wrapText="1"/>
    </xf>
    <xf numFmtId="0" fontId="24" fillId="14" borderId="41" xfId="0" applyFont="1" applyFill="1" applyBorder="1" applyAlignment="1">
      <alignment horizontal="center" vertical="center" wrapText="1" readingOrder="1"/>
    </xf>
    <xf numFmtId="0" fontId="24" fillId="14" borderId="42" xfId="0" applyFont="1" applyFill="1" applyBorder="1" applyAlignment="1">
      <alignment horizontal="center" vertical="center" wrapText="1" readingOrder="1"/>
    </xf>
    <xf numFmtId="0" fontId="24" fillId="3" borderId="52" xfId="0" applyFont="1" applyFill="1" applyBorder="1" applyAlignment="1">
      <alignment horizontal="center" vertical="center" wrapText="1" readingOrder="1"/>
    </xf>
    <xf numFmtId="0" fontId="24" fillId="3" borderId="53" xfId="0" applyFont="1" applyFill="1" applyBorder="1" applyAlignment="1">
      <alignment horizontal="center" vertical="center" wrapText="1" readingOrder="1"/>
    </xf>
    <xf numFmtId="0" fontId="24" fillId="3" borderId="39" xfId="0" applyFont="1" applyFill="1" applyBorder="1" applyAlignment="1">
      <alignment horizontal="center" vertical="center" wrapText="1" readingOrder="1"/>
    </xf>
    <xf numFmtId="0" fontId="24" fillId="3" borderId="50" xfId="0" applyFont="1" applyFill="1" applyBorder="1" applyAlignment="1">
      <alignment horizontal="center" vertical="center" wrapText="1" readingOrder="1"/>
    </xf>
    <xf numFmtId="0" fontId="24" fillId="3" borderId="51" xfId="0" applyFont="1" applyFill="1" applyBorder="1" applyAlignment="1">
      <alignment horizontal="center" vertical="center" wrapText="1" readingOrder="1"/>
    </xf>
    <xf numFmtId="0" fontId="24" fillId="3" borderId="33" xfId="0" applyFont="1" applyFill="1" applyBorder="1" applyAlignment="1">
      <alignment horizontal="center" vertical="center" wrapText="1" readingOrder="1"/>
    </xf>
    <xf numFmtId="0" fontId="24" fillId="3" borderId="32" xfId="0" applyFont="1" applyFill="1" applyBorder="1" applyAlignment="1">
      <alignment horizontal="center" vertical="center" wrapText="1" readingOrder="1"/>
    </xf>
    <xf numFmtId="0" fontId="24" fillId="3" borderId="34" xfId="0" applyFont="1" applyFill="1" applyBorder="1" applyAlignment="1">
      <alignment horizontal="center" vertical="center" wrapText="1" readingOrder="1"/>
    </xf>
    <xf numFmtId="0" fontId="24" fillId="3" borderId="36" xfId="0" applyFont="1" applyFill="1" applyBorder="1" applyAlignment="1">
      <alignment horizontal="center" vertical="center" wrapText="1" readingOrder="1"/>
    </xf>
    <xf numFmtId="0" fontId="24" fillId="3" borderId="37" xfId="0" applyFont="1" applyFill="1" applyBorder="1" applyAlignment="1">
      <alignment horizontal="center" vertical="center" wrapText="1" readingOrder="1"/>
    </xf>
    <xf numFmtId="0" fontId="0" fillId="0" borderId="0" xfId="0" applyAlignment="1">
      <alignment horizontal="center" vertical="center"/>
    </xf>
    <xf numFmtId="0" fontId="0" fillId="0" borderId="32" xfId="0" applyBorder="1" applyAlignment="1">
      <alignment horizontal="center"/>
    </xf>
    <xf numFmtId="0" fontId="19" fillId="0" borderId="32" xfId="0" applyFont="1" applyBorder="1" applyAlignment="1">
      <alignment horizontal="center" vertical="center" wrapText="1"/>
    </xf>
    <xf numFmtId="0" fontId="44" fillId="0" borderId="32" xfId="0" applyFont="1" applyBorder="1" applyAlignment="1">
      <alignment horizontal="left" vertical="center" wrapText="1"/>
    </xf>
    <xf numFmtId="17" fontId="1" fillId="0" borderId="32" xfId="0" applyNumberFormat="1" applyFont="1" applyBorder="1" applyAlignment="1">
      <alignment horizontal="justify" vertical="center" wrapText="1"/>
    </xf>
    <xf numFmtId="0" fontId="45" fillId="0" borderId="49" xfId="0" applyFont="1" applyBorder="1" applyAlignment="1">
      <alignment horizontal="center" vertical="center" wrapText="1"/>
    </xf>
    <xf numFmtId="0" fontId="45" fillId="0" borderId="48" xfId="0" applyFont="1" applyBorder="1" applyAlignment="1">
      <alignment horizontal="center" vertical="center" wrapText="1"/>
    </xf>
    <xf numFmtId="0" fontId="51" fillId="0" borderId="32" xfId="0" applyFont="1" applyBorder="1" applyAlignment="1">
      <alignment horizontal="center" vertical="center"/>
    </xf>
    <xf numFmtId="0" fontId="1" fillId="0" borderId="18" xfId="0" applyFont="1" applyBorder="1" applyAlignment="1">
      <alignment horizontal="left"/>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left" vertical="center" wrapText="1"/>
    </xf>
    <xf numFmtId="0" fontId="0" fillId="0" borderId="0" xfId="0"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54">
    <dxf>
      <fill>
        <patternFill>
          <bgColor rgb="FFFFFF00"/>
        </patternFill>
      </fill>
    </dxf>
    <dxf>
      <fill>
        <patternFill>
          <bgColor rgb="FF92D05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alignment horizontal="general" vertical="center" textRotation="0" wrapText="0" indent="0" justifyLastLine="0" shrinkToFit="0"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383722</xdr:colOff>
      <xdr:row>0</xdr:row>
      <xdr:rowOff>0</xdr:rowOff>
    </xdr:from>
    <xdr:to>
      <xdr:col>3</xdr:col>
      <xdr:colOff>408215</xdr:colOff>
      <xdr:row>4</xdr:row>
      <xdr:rowOff>0</xdr:rowOff>
    </xdr:to>
    <xdr:pic>
      <xdr:nvPicPr>
        <xdr:cNvPr id="2" name="Imagen 1">
          <a:extLst>
            <a:ext uri="{FF2B5EF4-FFF2-40B4-BE49-F238E27FC236}">
              <a16:creationId xmlns:a16="http://schemas.microsoft.com/office/drawing/2014/main" id="{1EB3802F-07FE-C6B9-BEAC-DF77622F03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758" y="0"/>
          <a:ext cx="1344386" cy="92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408214</xdr:colOff>
      <xdr:row>78</xdr:row>
      <xdr:rowOff>136072</xdr:rowOff>
    </xdr:from>
    <xdr:to>
      <xdr:col>2</xdr:col>
      <xdr:colOff>3351709</xdr:colOff>
      <xdr:row>79</xdr:row>
      <xdr:rowOff>63047</xdr:rowOff>
    </xdr:to>
    <xdr:grpSp>
      <xdr:nvGrpSpPr>
        <xdr:cNvPr id="3" name="Agrupar 1">
          <a:extLst>
            <a:ext uri="{FF2B5EF4-FFF2-40B4-BE49-F238E27FC236}">
              <a16:creationId xmlns:a16="http://schemas.microsoft.com/office/drawing/2014/main" id="{010526ED-8781-4FAD-A771-426B278B34ED}"/>
            </a:ext>
          </a:extLst>
        </xdr:cNvPr>
        <xdr:cNvGrpSpPr/>
      </xdr:nvGrpSpPr>
      <xdr:grpSpPr>
        <a:xfrm>
          <a:off x="408214" y="31040367"/>
          <a:ext cx="8476654" cy="117475"/>
          <a:chOff x="0" y="0"/>
          <a:chExt cx="7883152" cy="117639"/>
        </a:xfrm>
      </xdr:grpSpPr>
      <xdr:sp macro="" textlink="">
        <xdr:nvSpPr>
          <xdr:cNvPr id="4" name="Rectángulo 3">
            <a:extLst>
              <a:ext uri="{FF2B5EF4-FFF2-40B4-BE49-F238E27FC236}">
                <a16:creationId xmlns:a16="http://schemas.microsoft.com/office/drawing/2014/main" id="{6ACFD8C4-87A4-4E0D-9223-BFB1BDF21B8D}"/>
              </a:ext>
            </a:extLst>
          </xdr:cNvPr>
          <xdr:cNvSpPr/>
        </xdr:nvSpPr>
        <xdr:spPr>
          <a:xfrm>
            <a:off x="0" y="0"/>
            <a:ext cx="2633976" cy="117639"/>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5" name="Rectángulo 4">
            <a:extLst>
              <a:ext uri="{FF2B5EF4-FFF2-40B4-BE49-F238E27FC236}">
                <a16:creationId xmlns:a16="http://schemas.microsoft.com/office/drawing/2014/main" id="{0EB06A3B-5048-40BD-8615-B71E0611F004}"/>
              </a:ext>
            </a:extLst>
          </xdr:cNvPr>
          <xdr:cNvSpPr/>
        </xdr:nvSpPr>
        <xdr:spPr>
          <a:xfrm>
            <a:off x="2621707" y="0"/>
            <a:ext cx="2633345" cy="117475"/>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6" name="Rectángulo 5">
            <a:extLst>
              <a:ext uri="{FF2B5EF4-FFF2-40B4-BE49-F238E27FC236}">
                <a16:creationId xmlns:a16="http://schemas.microsoft.com/office/drawing/2014/main" id="{68C2F5D0-7122-452F-9B66-71B91A78D565}"/>
              </a:ext>
            </a:extLst>
          </xdr:cNvPr>
          <xdr:cNvSpPr/>
        </xdr:nvSpPr>
        <xdr:spPr>
          <a:xfrm>
            <a:off x="5249807" y="0"/>
            <a:ext cx="2633345" cy="117475"/>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twoCellAnchor>
    <xdr:from>
      <xdr:col>1</xdr:col>
      <xdr:colOff>1319892</xdr:colOff>
      <xdr:row>7</xdr:row>
      <xdr:rowOff>326572</xdr:rowOff>
    </xdr:from>
    <xdr:to>
      <xdr:col>1</xdr:col>
      <xdr:colOff>2349229</xdr:colOff>
      <xdr:row>7</xdr:row>
      <xdr:rowOff>371657</xdr:rowOff>
    </xdr:to>
    <xdr:grpSp>
      <xdr:nvGrpSpPr>
        <xdr:cNvPr id="7" name="Agrupar 207">
          <a:extLst>
            <a:ext uri="{FF2B5EF4-FFF2-40B4-BE49-F238E27FC236}">
              <a16:creationId xmlns:a16="http://schemas.microsoft.com/office/drawing/2014/main" id="{17C57FD8-538A-4958-B8E2-0CFEDA348C8B}"/>
            </a:ext>
          </a:extLst>
        </xdr:cNvPr>
        <xdr:cNvGrpSpPr/>
      </xdr:nvGrpSpPr>
      <xdr:grpSpPr>
        <a:xfrm>
          <a:off x="2203119" y="2967595"/>
          <a:ext cx="1029337" cy="45085"/>
          <a:chOff x="0" y="0"/>
          <a:chExt cx="7975600" cy="116840"/>
        </a:xfrm>
      </xdr:grpSpPr>
      <xdr:sp macro="" textlink="">
        <xdr:nvSpPr>
          <xdr:cNvPr id="8" name="Rectángulo 7">
            <a:extLst>
              <a:ext uri="{FF2B5EF4-FFF2-40B4-BE49-F238E27FC236}">
                <a16:creationId xmlns:a16="http://schemas.microsoft.com/office/drawing/2014/main" id="{B63DABEF-A1AE-4ACB-8488-DB5973DC158F}"/>
              </a:ext>
            </a:extLst>
          </xdr:cNvPr>
          <xdr:cNvSpPr/>
        </xdr:nvSpPr>
        <xdr:spPr>
          <a:xfrm>
            <a:off x="0" y="0"/>
            <a:ext cx="2717800" cy="116840"/>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9" name="Rectángulo 8">
            <a:extLst>
              <a:ext uri="{FF2B5EF4-FFF2-40B4-BE49-F238E27FC236}">
                <a16:creationId xmlns:a16="http://schemas.microsoft.com/office/drawing/2014/main" id="{63EF27A5-1F90-4EDF-AABB-0D160AB8AAED}"/>
              </a:ext>
            </a:extLst>
          </xdr:cNvPr>
          <xdr:cNvSpPr/>
        </xdr:nvSpPr>
        <xdr:spPr>
          <a:xfrm>
            <a:off x="2628900" y="0"/>
            <a:ext cx="2717800" cy="116840"/>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10" name="Rectángulo 9">
            <a:extLst>
              <a:ext uri="{FF2B5EF4-FFF2-40B4-BE49-F238E27FC236}">
                <a16:creationId xmlns:a16="http://schemas.microsoft.com/office/drawing/2014/main" id="{6DA8E81A-E093-4E21-B55D-F4EBBDA8A51E}"/>
              </a:ext>
            </a:extLst>
          </xdr:cNvPr>
          <xdr:cNvSpPr/>
        </xdr:nvSpPr>
        <xdr:spPr>
          <a:xfrm>
            <a:off x="5257800" y="0"/>
            <a:ext cx="2717800" cy="116840"/>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01\Downloads\Mapa-Riesgos-Fiscales-2023-Juri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ux01\Downloads\Mapa-Riesgos-Fiscales-2023-ALMACEN-E-INVENT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
      <sheetName val="Mapa de Riesgos"/>
      <sheetName val="Matriz Calor Inherente"/>
      <sheetName val="Matriz Calor Residual"/>
      <sheetName val="Tabla probabilidad"/>
      <sheetName val="Tabla Impacto"/>
      <sheetName val="Tabla Valoración controles"/>
      <sheetName val="Anexo 1"/>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5">
          <cell r="C15" t="str">
            <v xml:space="preserve">     Afectación menor a 10 SMLMV .</v>
          </cell>
          <cell r="E15" t="str">
            <v xml:space="preserve">     El riesgo afecta la imagen de alguna área de la organización</v>
          </cell>
        </row>
        <row r="16">
          <cell r="C16" t="str">
            <v xml:space="preserve">     Entre 10 y 50 SMLMV </v>
          </cell>
          <cell r="E16" t="str">
            <v xml:space="preserve">     El riesgo afecta la imagen de la entidad internamente, de conocimiento general, nivel interno, de junta dircetiva y accionistas y/o de provedores</v>
          </cell>
        </row>
        <row r="17">
          <cell r="C17" t="str">
            <v xml:space="preserve">     Entre 50 y 100 SMLMV </v>
          </cell>
          <cell r="E17" t="str">
            <v xml:space="preserve">     El riesgo afecta la imagen de la entidad con algunos usuarios de relevancia frente al logro de los objetivos</v>
          </cell>
        </row>
        <row r="18">
          <cell r="C18" t="str">
            <v xml:space="preserve">     Entre 100 y 500 SMLMV </v>
          </cell>
          <cell r="E18" t="str">
            <v xml:space="preserve">     El riesgo afecta la imagen de de la entidad con efecto publicitario sostenido a nivel de sector administrativo, nivel departamental o municipal</v>
          </cell>
        </row>
        <row r="19">
          <cell r="C19" t="str">
            <v xml:space="preserve">     Mayor a 500 SMLMV </v>
          </cell>
          <cell r="E19" t="str">
            <v xml:space="preserve">     El riesgo afecta la imagen de la entidad a nivel nacional, con efecto publicitarios sostenible a nivel país</v>
          </cell>
        </row>
        <row r="225">
          <cell r="B225" t="str">
            <v>Criterios</v>
          </cell>
        </row>
        <row r="226">
          <cell r="B226" t="str">
            <v>Afectación Económica o presupuestal</v>
          </cell>
        </row>
        <row r="227">
          <cell r="B227" t="str">
            <v>Pérdida Reputacional</v>
          </cell>
          <cell r="G227" t="str">
            <v>❌</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
      <sheetName val="Mapa de Riesgos"/>
      <sheetName val="Matriz Calor Inherente"/>
      <sheetName val="Matriz Calor Residual"/>
      <sheetName val="Tabla probabilidad"/>
      <sheetName val="Tabla Impacto"/>
      <sheetName val="Tabla Valoración controles"/>
      <sheetName val="Anexo 1"/>
      <sheetName val="Opciones Tratamiento"/>
      <sheetName val="Hoja1"/>
    </sheetNames>
    <sheetDataSet>
      <sheetData sheetId="0"/>
      <sheetData sheetId="1"/>
      <sheetData sheetId="2"/>
      <sheetData sheetId="3"/>
      <sheetData sheetId="4"/>
      <sheetData sheetId="5">
        <row r="15">
          <cell r="C15" t="str">
            <v xml:space="preserve">     Afectación menor a 10 SMLMV .</v>
          </cell>
          <cell r="E15" t="str">
            <v xml:space="preserve">     El riesgo afecta la imagen de alguna área de la organización</v>
          </cell>
        </row>
        <row r="16">
          <cell r="C16" t="str">
            <v xml:space="preserve">     Entre 10 y 50 SMLMV </v>
          </cell>
          <cell r="E16" t="str">
            <v xml:space="preserve">     El riesgo afecta la imagen de la entidad internamente, de conocimiento general, nivel interno, de junta dircetiva y accionistas y/o de provedores</v>
          </cell>
        </row>
        <row r="17">
          <cell r="C17" t="str">
            <v xml:space="preserve">     Entre 50 y 100 SMLMV </v>
          </cell>
          <cell r="E17" t="str">
            <v xml:space="preserve">     El riesgo afecta la imagen de la entidad con algunos usuarios de relevancia frente al logro de los objetivos</v>
          </cell>
        </row>
        <row r="18">
          <cell r="C18" t="str">
            <v xml:space="preserve">     Entre 100 y 500 SMLMV </v>
          </cell>
          <cell r="E18" t="str">
            <v xml:space="preserve">     El riesgo afecta la imagen de de la entidad con efecto publicitario sostenido a nivel de sector administrativo, nivel departamental o municipal</v>
          </cell>
        </row>
        <row r="19">
          <cell r="C19" t="str">
            <v xml:space="preserve">     Mayor a 500 SMLMV </v>
          </cell>
          <cell r="E19" t="str">
            <v xml:space="preserve">     El riesgo afecta la imagen de la entidad a nivel nacional, con efecto publicitarios sostenible a nivel país</v>
          </cell>
        </row>
        <row r="225">
          <cell r="B225" t="str">
            <v>Criterios</v>
          </cell>
        </row>
        <row r="226">
          <cell r="B226" t="str">
            <v>Afectación Económica o presupuestal</v>
          </cell>
        </row>
        <row r="227">
          <cell r="B227" t="str">
            <v>Pérdida Reputacional</v>
          </cell>
          <cell r="G227" t="str">
            <v>❌</v>
          </cell>
        </row>
      </sheetData>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13:F225"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153">
      <pivotArea type="all" dataOnly="0" outline="0" fieldPosition="0"/>
    </format>
    <format dxfId="152">
      <pivotArea field="0" type="button" dataOnly="0" labelOnly="1" outline="0" axis="axisRow" fieldPosition="0"/>
    </format>
    <format dxfId="151">
      <pivotArea field="1" type="button" dataOnly="0" labelOnly="1" outline="0" axis="axisRow" fieldPosition="1"/>
    </format>
    <format dxfId="150">
      <pivotArea dataOnly="0" labelOnly="1" outline="0" fieldPosition="0">
        <references count="1">
          <reference field="0" count="0"/>
        </references>
      </pivotArea>
    </format>
    <format dxfId="149">
      <pivotArea dataOnly="0" labelOnly="1" outline="0" fieldPosition="0">
        <references count="2">
          <reference field="0" count="1" selected="0">
            <x v="0"/>
          </reference>
          <reference field="1" count="5">
            <x v="0"/>
            <x v="6"/>
            <x v="7"/>
            <x v="8"/>
            <x v="9"/>
          </reference>
        </references>
      </pivotArea>
    </format>
    <format dxfId="14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3:C223" totalsRowShown="0" headerRowDxfId="147" dataDxfId="146">
  <autoFilter ref="B213:C223" xr:uid="{00000000-0009-0000-0100-000001000000}"/>
  <tableColumns count="2">
    <tableColumn id="1" xr3:uid="{00000000-0010-0000-0000-000001000000}" name="Criterios" dataDxfId="145"/>
    <tableColumn id="2" xr3:uid="{00000000-0010-0000-0000-000002000000}" name="Subcriterios" dataDxfId="14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B1:H50"/>
  <sheetViews>
    <sheetView zoomScaleNormal="100" workbookViewId="0">
      <selection activeCell="B11" sqref="B11:H11"/>
    </sheetView>
  </sheetViews>
  <sheetFormatPr baseColWidth="10" defaultColWidth="11.42578125" defaultRowHeight="15" x14ac:dyDescent="0.25"/>
  <cols>
    <col min="1" max="1" width="2.7109375" style="41" customWidth="1" collapsed="1"/>
    <col min="2" max="3" width="24.7109375" style="41" customWidth="1" collapsed="1"/>
    <col min="4" max="4" width="16" style="41" customWidth="1" collapsed="1"/>
    <col min="5" max="5" width="24.7109375" style="41" customWidth="1" collapsed="1"/>
    <col min="6" max="6" width="27.7109375" style="41" customWidth="1" collapsed="1"/>
    <col min="7" max="7" width="24.7109375" style="41" customWidth="1" collapsed="1"/>
    <col min="8" max="8" width="40.28515625" style="41" customWidth="1" collapsed="1"/>
    <col min="9" max="16384" width="11.42578125" style="41" collapsed="1"/>
  </cols>
  <sheetData>
    <row r="1" spans="2:8" x14ac:dyDescent="0.25">
      <c r="B1" s="195"/>
      <c r="C1" s="196" t="s">
        <v>0</v>
      </c>
      <c r="D1" s="197"/>
      <c r="E1" s="197"/>
      <c r="F1" s="197"/>
      <c r="G1" s="197"/>
      <c r="H1" s="63"/>
    </row>
    <row r="2" spans="2:8" x14ac:dyDescent="0.25">
      <c r="B2" s="195"/>
      <c r="C2" s="197"/>
      <c r="D2" s="197"/>
      <c r="E2" s="197"/>
      <c r="F2" s="197"/>
      <c r="G2" s="197"/>
      <c r="H2" s="63"/>
    </row>
    <row r="3" spans="2:8" x14ac:dyDescent="0.25">
      <c r="B3" s="195"/>
      <c r="C3" s="197"/>
      <c r="D3" s="197"/>
      <c r="E3" s="197"/>
      <c r="F3" s="197"/>
      <c r="G3" s="197"/>
      <c r="H3" s="63"/>
    </row>
    <row r="4" spans="2:8" x14ac:dyDescent="0.25">
      <c r="B4" s="195"/>
      <c r="C4" s="197"/>
      <c r="D4" s="197"/>
      <c r="E4" s="197"/>
      <c r="F4" s="197"/>
      <c r="G4" s="197"/>
      <c r="H4" s="63"/>
    </row>
    <row r="5" spans="2:8" x14ac:dyDescent="0.25">
      <c r="B5" s="189"/>
      <c r="C5" s="190"/>
      <c r="D5" s="190"/>
      <c r="E5" s="190"/>
      <c r="F5" s="190"/>
      <c r="G5" s="190"/>
      <c r="H5" s="191"/>
    </row>
    <row r="6" spans="2:8" ht="18" x14ac:dyDescent="0.25">
      <c r="B6" s="198" t="s">
        <v>1</v>
      </c>
      <c r="C6" s="198"/>
      <c r="D6" s="198"/>
      <c r="E6" s="198"/>
      <c r="F6" s="198"/>
      <c r="G6" s="198"/>
      <c r="H6" s="198"/>
    </row>
    <row r="7" spans="2:8" x14ac:dyDescent="0.25">
      <c r="B7" s="192"/>
      <c r="C7" s="193"/>
      <c r="D7" s="193"/>
      <c r="E7" s="193"/>
      <c r="F7" s="193"/>
      <c r="G7" s="193"/>
      <c r="H7" s="194"/>
    </row>
    <row r="8" spans="2:8" ht="63" customHeight="1" x14ac:dyDescent="0.25">
      <c r="B8" s="181" t="s">
        <v>2</v>
      </c>
      <c r="C8" s="181"/>
      <c r="D8" s="181"/>
      <c r="E8" s="181"/>
      <c r="F8" s="181"/>
      <c r="G8" s="181"/>
      <c r="H8" s="181"/>
    </row>
    <row r="9" spans="2:8" ht="63" customHeight="1" x14ac:dyDescent="0.25">
      <c r="B9" s="181"/>
      <c r="C9" s="181"/>
      <c r="D9" s="181"/>
      <c r="E9" s="181"/>
      <c r="F9" s="181"/>
      <c r="G9" s="181"/>
      <c r="H9" s="181"/>
    </row>
    <row r="10" spans="2:8" ht="16.5" x14ac:dyDescent="0.25">
      <c r="B10" s="182" t="s">
        <v>3</v>
      </c>
      <c r="C10" s="183"/>
      <c r="D10" s="183"/>
      <c r="E10" s="183"/>
      <c r="F10" s="183"/>
      <c r="G10" s="183"/>
      <c r="H10" s="183"/>
    </row>
    <row r="11" spans="2:8" ht="95.25" customHeight="1" x14ac:dyDescent="0.25">
      <c r="B11" s="184" t="s">
        <v>4</v>
      </c>
      <c r="C11" s="184"/>
      <c r="D11" s="184"/>
      <c r="E11" s="184"/>
      <c r="F11" s="184"/>
      <c r="G11" s="184"/>
      <c r="H11" s="184"/>
    </row>
    <row r="12" spans="2:8" ht="16.5" x14ac:dyDescent="0.25">
      <c r="B12" s="66"/>
      <c r="C12" s="67"/>
      <c r="D12" s="67"/>
      <c r="E12" s="67"/>
      <c r="F12" s="67"/>
      <c r="G12" s="67"/>
      <c r="H12" s="67"/>
    </row>
    <row r="13" spans="2:8" ht="16.5" customHeight="1" x14ac:dyDescent="0.25">
      <c r="B13" s="185" t="s">
        <v>5</v>
      </c>
      <c r="C13" s="185"/>
      <c r="D13" s="185"/>
      <c r="E13" s="185"/>
      <c r="F13" s="185"/>
      <c r="G13" s="185"/>
      <c r="H13" s="185"/>
    </row>
    <row r="14" spans="2:8" ht="16.5" customHeight="1" x14ac:dyDescent="0.25">
      <c r="B14" s="185"/>
      <c r="C14" s="185"/>
      <c r="D14" s="185"/>
      <c r="E14" s="185"/>
      <c r="F14" s="185"/>
      <c r="G14" s="185"/>
      <c r="H14" s="185"/>
    </row>
    <row r="15" spans="2:8" ht="11.65" customHeight="1" x14ac:dyDescent="0.25">
      <c r="B15" s="68"/>
      <c r="C15" s="69"/>
      <c r="D15" s="69"/>
      <c r="E15" s="69"/>
      <c r="F15" s="69"/>
      <c r="G15" s="68"/>
      <c r="H15" s="68"/>
    </row>
    <row r="16" spans="2:8" ht="27.4" customHeight="1" x14ac:dyDescent="0.25">
      <c r="B16" s="186" t="s">
        <v>6</v>
      </c>
      <c r="C16" s="186"/>
      <c r="D16" s="186"/>
      <c r="E16" s="186"/>
      <c r="F16" s="186"/>
      <c r="G16" s="186"/>
      <c r="H16" s="186"/>
    </row>
    <row r="17" spans="2:8" x14ac:dyDescent="0.25">
      <c r="B17" s="69"/>
      <c r="C17" s="187" t="s">
        <v>7</v>
      </c>
      <c r="D17" s="187"/>
      <c r="E17" s="188" t="s">
        <v>8</v>
      </c>
      <c r="F17" s="188"/>
      <c r="G17" s="69"/>
      <c r="H17" s="69"/>
    </row>
    <row r="18" spans="2:8" ht="13.5" customHeight="1" x14ac:dyDescent="0.25">
      <c r="B18" s="65"/>
      <c r="C18" s="180" t="s">
        <v>9</v>
      </c>
      <c r="D18" s="180"/>
      <c r="E18" s="179" t="s">
        <v>10</v>
      </c>
      <c r="F18" s="179"/>
      <c r="G18" s="65"/>
      <c r="H18" s="65"/>
    </row>
    <row r="19" spans="2:8" ht="13.5" customHeight="1" x14ac:dyDescent="0.25">
      <c r="B19" s="65"/>
      <c r="C19" s="180" t="s">
        <v>11</v>
      </c>
      <c r="D19" s="180"/>
      <c r="E19" s="179" t="s">
        <v>12</v>
      </c>
      <c r="F19" s="179"/>
      <c r="G19" s="65"/>
      <c r="H19" s="65"/>
    </row>
    <row r="20" spans="2:8" ht="13.5" customHeight="1" x14ac:dyDescent="0.25">
      <c r="B20" s="65"/>
      <c r="C20" s="180" t="s">
        <v>13</v>
      </c>
      <c r="D20" s="180"/>
      <c r="E20" s="179" t="s">
        <v>14</v>
      </c>
      <c r="F20" s="179"/>
      <c r="G20" s="65"/>
      <c r="H20" s="65"/>
    </row>
    <row r="21" spans="2:8" ht="27" customHeight="1" x14ac:dyDescent="0.25">
      <c r="B21" s="65"/>
      <c r="C21" s="180" t="s">
        <v>15</v>
      </c>
      <c r="D21" s="180"/>
      <c r="E21" s="179" t="s">
        <v>16</v>
      </c>
      <c r="F21" s="179"/>
      <c r="G21" s="65"/>
      <c r="H21" s="65"/>
    </row>
    <row r="22" spans="2:8" ht="30" customHeight="1" x14ac:dyDescent="0.25">
      <c r="B22" s="65"/>
      <c r="C22" s="178" t="s">
        <v>17</v>
      </c>
      <c r="D22" s="178"/>
      <c r="E22" s="179" t="s">
        <v>18</v>
      </c>
      <c r="F22" s="179"/>
      <c r="G22" s="65"/>
      <c r="H22" s="65"/>
    </row>
    <row r="23" spans="2:8" ht="44.25" customHeight="1" x14ac:dyDescent="0.25">
      <c r="B23" s="65"/>
      <c r="C23" s="178" t="s">
        <v>19</v>
      </c>
      <c r="D23" s="178"/>
      <c r="E23" s="179" t="s">
        <v>20</v>
      </c>
      <c r="F23" s="179"/>
      <c r="G23" s="65"/>
      <c r="H23" s="65"/>
    </row>
    <row r="24" spans="2:8" ht="69" customHeight="1" x14ac:dyDescent="0.25">
      <c r="B24" s="65"/>
      <c r="C24" s="178" t="s">
        <v>21</v>
      </c>
      <c r="D24" s="178"/>
      <c r="E24" s="179" t="s">
        <v>22</v>
      </c>
      <c r="F24" s="179"/>
      <c r="G24" s="65"/>
      <c r="H24" s="65"/>
    </row>
    <row r="25" spans="2:8" ht="69.75" customHeight="1" x14ac:dyDescent="0.25">
      <c r="B25" s="65"/>
      <c r="C25" s="178" t="s">
        <v>23</v>
      </c>
      <c r="D25" s="178"/>
      <c r="E25" s="179" t="s">
        <v>24</v>
      </c>
      <c r="F25" s="179"/>
      <c r="G25" s="65"/>
      <c r="H25" s="65"/>
    </row>
    <row r="26" spans="2:8" ht="63.75" customHeight="1" x14ac:dyDescent="0.25">
      <c r="B26" s="65"/>
      <c r="C26" s="178" t="s">
        <v>25</v>
      </c>
      <c r="D26" s="178"/>
      <c r="E26" s="179" t="s">
        <v>26</v>
      </c>
      <c r="F26" s="179"/>
      <c r="G26" s="65"/>
      <c r="H26" s="65"/>
    </row>
    <row r="27" spans="2:8" ht="64.5" customHeight="1" x14ac:dyDescent="0.25">
      <c r="B27" s="65"/>
      <c r="C27" s="178" t="s">
        <v>27</v>
      </c>
      <c r="D27" s="178"/>
      <c r="E27" s="179" t="s">
        <v>28</v>
      </c>
      <c r="F27" s="179"/>
      <c r="G27" s="65"/>
      <c r="H27" s="65"/>
    </row>
    <row r="28" spans="2:8" ht="41.25" customHeight="1" x14ac:dyDescent="0.25">
      <c r="B28" s="65"/>
      <c r="C28" s="178" t="s">
        <v>29</v>
      </c>
      <c r="D28" s="178"/>
      <c r="E28" s="179" t="s">
        <v>30</v>
      </c>
      <c r="F28" s="179"/>
      <c r="G28" s="65"/>
      <c r="H28" s="65"/>
    </row>
    <row r="29" spans="2:8" ht="40.5" customHeight="1" x14ac:dyDescent="0.25">
      <c r="B29" s="65"/>
      <c r="C29" s="178" t="s">
        <v>31</v>
      </c>
      <c r="D29" s="178"/>
      <c r="E29" s="179" t="s">
        <v>32</v>
      </c>
      <c r="F29" s="179"/>
      <c r="G29" s="65"/>
      <c r="H29" s="65"/>
    </row>
    <row r="30" spans="2:8" ht="42" customHeight="1" x14ac:dyDescent="0.25">
      <c r="B30" s="65"/>
      <c r="C30" s="178" t="s">
        <v>33</v>
      </c>
      <c r="D30" s="178"/>
      <c r="E30" s="179" t="s">
        <v>34</v>
      </c>
      <c r="F30" s="179"/>
      <c r="G30" s="65"/>
      <c r="H30" s="65"/>
    </row>
    <row r="31" spans="2:8" ht="24.75" customHeight="1" x14ac:dyDescent="0.25">
      <c r="B31" s="65"/>
      <c r="C31" s="178" t="s">
        <v>35</v>
      </c>
      <c r="D31" s="178"/>
      <c r="E31" s="179" t="s">
        <v>36</v>
      </c>
      <c r="F31" s="179"/>
      <c r="G31" s="65"/>
      <c r="H31" s="65"/>
    </row>
    <row r="32" spans="2:8" ht="23.25" customHeight="1" x14ac:dyDescent="0.25">
      <c r="B32" s="65"/>
      <c r="C32" s="178" t="s">
        <v>37</v>
      </c>
      <c r="D32" s="178"/>
      <c r="E32" s="179" t="s">
        <v>38</v>
      </c>
      <c r="F32" s="179"/>
      <c r="G32" s="65"/>
      <c r="H32" s="65"/>
    </row>
    <row r="33" spans="2:8" ht="30.75" customHeight="1" x14ac:dyDescent="0.25">
      <c r="B33" s="65"/>
      <c r="C33" s="178" t="s">
        <v>39</v>
      </c>
      <c r="D33" s="178"/>
      <c r="E33" s="179" t="s">
        <v>40</v>
      </c>
      <c r="F33" s="179"/>
      <c r="G33" s="65"/>
      <c r="H33" s="65"/>
    </row>
    <row r="34" spans="2:8" ht="35.25" customHeight="1" x14ac:dyDescent="0.25">
      <c r="B34" s="65"/>
      <c r="C34" s="178" t="s">
        <v>39</v>
      </c>
      <c r="D34" s="178"/>
      <c r="E34" s="179" t="s">
        <v>40</v>
      </c>
      <c r="F34" s="179"/>
      <c r="G34" s="65"/>
      <c r="H34" s="65"/>
    </row>
    <row r="35" spans="2:8" ht="33" customHeight="1" x14ac:dyDescent="0.25">
      <c r="B35" s="65"/>
      <c r="C35" s="178" t="s">
        <v>41</v>
      </c>
      <c r="D35" s="178"/>
      <c r="E35" s="179" t="s">
        <v>42</v>
      </c>
      <c r="F35" s="179"/>
      <c r="G35" s="65"/>
      <c r="H35" s="65"/>
    </row>
    <row r="36" spans="2:8" ht="30" customHeight="1" x14ac:dyDescent="0.25">
      <c r="B36" s="65"/>
      <c r="C36" s="178" t="s">
        <v>43</v>
      </c>
      <c r="D36" s="178"/>
      <c r="E36" s="179" t="s">
        <v>44</v>
      </c>
      <c r="F36" s="179"/>
      <c r="G36" s="65"/>
      <c r="H36" s="65"/>
    </row>
    <row r="37" spans="2:8" ht="35.25" customHeight="1" x14ac:dyDescent="0.25">
      <c r="B37" s="65"/>
      <c r="C37" s="178" t="s">
        <v>45</v>
      </c>
      <c r="D37" s="178"/>
      <c r="E37" s="179" t="s">
        <v>46</v>
      </c>
      <c r="F37" s="179"/>
      <c r="G37" s="65"/>
      <c r="H37" s="65"/>
    </row>
    <row r="38" spans="2:8" ht="31.5" customHeight="1" x14ac:dyDescent="0.25">
      <c r="B38" s="65"/>
      <c r="C38" s="178" t="s">
        <v>47</v>
      </c>
      <c r="D38" s="178"/>
      <c r="E38" s="179" t="s">
        <v>48</v>
      </c>
      <c r="F38" s="179"/>
      <c r="G38" s="65"/>
      <c r="H38" s="65"/>
    </row>
    <row r="39" spans="2:8" ht="54" customHeight="1" x14ac:dyDescent="0.25">
      <c r="B39" s="65"/>
      <c r="C39" s="178" t="s">
        <v>49</v>
      </c>
      <c r="D39" s="178"/>
      <c r="E39" s="179" t="s">
        <v>50</v>
      </c>
      <c r="F39" s="179"/>
      <c r="G39" s="65"/>
      <c r="H39" s="65"/>
    </row>
    <row r="40" spans="2:8" ht="30.75" customHeight="1" x14ac:dyDescent="0.25">
      <c r="B40" s="65"/>
      <c r="C40" s="178" t="s">
        <v>51</v>
      </c>
      <c r="D40" s="178"/>
      <c r="E40" s="179" t="s">
        <v>52</v>
      </c>
      <c r="F40" s="179"/>
      <c r="G40" s="65"/>
      <c r="H40" s="65"/>
    </row>
    <row r="41" spans="2:8" ht="74.25" customHeight="1" x14ac:dyDescent="0.25">
      <c r="B41" s="65"/>
      <c r="C41" s="178" t="s">
        <v>53</v>
      </c>
      <c r="D41" s="178"/>
      <c r="E41" s="179" t="s">
        <v>54</v>
      </c>
      <c r="F41" s="179"/>
      <c r="G41" s="65"/>
      <c r="H41" s="65"/>
    </row>
    <row r="42" spans="2:8" ht="82.5" customHeight="1" x14ac:dyDescent="0.25">
      <c r="B42" s="65"/>
      <c r="C42" s="178" t="s">
        <v>55</v>
      </c>
      <c r="D42" s="178"/>
      <c r="E42" s="179" t="s">
        <v>56</v>
      </c>
      <c r="F42" s="179"/>
      <c r="G42" s="65"/>
      <c r="H42" s="65"/>
    </row>
    <row r="43" spans="2:8" ht="6.75" customHeight="1" x14ac:dyDescent="0.25">
      <c r="B43" s="65"/>
      <c r="C43" s="70"/>
      <c r="D43" s="70"/>
      <c r="E43" s="71"/>
      <c r="F43" s="71"/>
      <c r="G43" s="65"/>
      <c r="H43" s="65"/>
    </row>
    <row r="44" spans="2:8" x14ac:dyDescent="0.25">
      <c r="B44" s="65"/>
      <c r="C44" s="72"/>
      <c r="D44" s="72"/>
      <c r="E44" s="72"/>
      <c r="F44" s="72"/>
      <c r="G44" s="65"/>
      <c r="H44" s="65"/>
    </row>
    <row r="45" spans="2:8" ht="21" customHeight="1" x14ac:dyDescent="0.25">
      <c r="B45" s="72" t="s">
        <v>57</v>
      </c>
      <c r="C45" s="72"/>
      <c r="D45" s="72"/>
      <c r="E45" s="72"/>
      <c r="F45" s="72"/>
      <c r="G45" s="72"/>
      <c r="H45" s="72"/>
    </row>
    <row r="46" spans="2:8" ht="20.25" customHeight="1" x14ac:dyDescent="0.25">
      <c r="B46" s="72" t="s">
        <v>58</v>
      </c>
      <c r="C46" s="72"/>
      <c r="D46" s="72"/>
      <c r="E46" s="72"/>
      <c r="F46" s="72"/>
      <c r="G46" s="72"/>
      <c r="H46" s="72"/>
    </row>
    <row r="47" spans="2:8" ht="20.25" customHeight="1" x14ac:dyDescent="0.25">
      <c r="B47" s="72" t="s">
        <v>59</v>
      </c>
      <c r="C47" s="72"/>
      <c r="D47" s="72"/>
      <c r="E47" s="72"/>
      <c r="F47" s="72"/>
      <c r="G47" s="72"/>
      <c r="H47" s="72"/>
    </row>
    <row r="48" spans="2:8" ht="20.25" customHeight="1" x14ac:dyDescent="0.25">
      <c r="B48" s="72" t="s">
        <v>60</v>
      </c>
      <c r="C48" s="72"/>
      <c r="D48" s="72"/>
      <c r="E48" s="72"/>
      <c r="F48" s="72"/>
      <c r="G48" s="72"/>
      <c r="H48" s="72"/>
    </row>
    <row r="49" spans="2:8" ht="16.5" customHeight="1" x14ac:dyDescent="0.25">
      <c r="B49" s="72" t="s">
        <v>61</v>
      </c>
      <c r="C49" s="72"/>
      <c r="D49" s="72"/>
      <c r="E49" s="72"/>
      <c r="F49" s="72"/>
      <c r="G49" s="72"/>
      <c r="H49" s="72"/>
    </row>
    <row r="50" spans="2:8" ht="17.25" customHeight="1" x14ac:dyDescent="0.25">
      <c r="B50" s="72" t="s">
        <v>62</v>
      </c>
      <c r="C50" s="65"/>
      <c r="D50" s="65"/>
      <c r="E50" s="65"/>
      <c r="F50" s="65"/>
      <c r="G50" s="65"/>
      <c r="H50" s="65"/>
    </row>
  </sheetData>
  <mergeCells count="62">
    <mergeCell ref="B5:H5"/>
    <mergeCell ref="B7:H7"/>
    <mergeCell ref="B1:B4"/>
    <mergeCell ref="C1:G4"/>
    <mergeCell ref="B6:H6"/>
    <mergeCell ref="B8:H9"/>
    <mergeCell ref="B10:H10"/>
    <mergeCell ref="B11:H11"/>
    <mergeCell ref="B13:H14"/>
    <mergeCell ref="C19:D19"/>
    <mergeCell ref="E19:F19"/>
    <mergeCell ref="B16:H16"/>
    <mergeCell ref="C17:D17"/>
    <mergeCell ref="E17:F17"/>
    <mergeCell ref="C18:D18"/>
    <mergeCell ref="E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41:D41"/>
    <mergeCell ref="E41:F41"/>
    <mergeCell ref="C42:D42"/>
    <mergeCell ref="E42:F42"/>
    <mergeCell ref="C38:D38"/>
    <mergeCell ref="E38:F38"/>
    <mergeCell ref="C39:D39"/>
    <mergeCell ref="E39:F39"/>
    <mergeCell ref="C40:D40"/>
    <mergeCell ref="E40:F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R86"/>
  <sheetViews>
    <sheetView tabSelected="1" zoomScale="40" zoomScaleNormal="40" workbookViewId="0">
      <pane xSplit="1" topLeftCell="B1" activePane="topRight" state="frozen"/>
      <selection pane="topRight" activeCell="C11" sqref="C11:C16"/>
    </sheetView>
  </sheetViews>
  <sheetFormatPr baseColWidth="10" defaultColWidth="11.42578125" defaultRowHeight="18" x14ac:dyDescent="0.25"/>
  <cols>
    <col min="1" max="1" width="8.42578125" style="110" customWidth="1"/>
    <col min="2" max="2" width="15.140625" style="110" customWidth="1"/>
    <col min="3" max="3" width="19.85546875" style="110" customWidth="1"/>
    <col min="4" max="4" width="25.7109375" style="110" customWidth="1"/>
    <col min="5" max="5" width="27.140625" style="110" customWidth="1"/>
    <col min="6" max="6" width="40.140625" style="102" customWidth="1"/>
    <col min="7" max="7" width="40.140625" style="111" customWidth="1"/>
    <col min="8" max="8" width="17.85546875" style="102" customWidth="1"/>
    <col min="9" max="9" width="16.5703125" style="102" customWidth="1"/>
    <col min="10" max="10" width="6.85546875" style="102" bestFit="1" customWidth="1"/>
    <col min="11" max="11" width="27.28515625" style="102" bestFit="1" customWidth="1"/>
    <col min="12" max="12" width="16.28515625" style="102" hidden="1" customWidth="1"/>
    <col min="13" max="13" width="17.5703125" style="102" customWidth="1"/>
    <col min="14" max="14" width="6.85546875" style="102" bestFit="1" customWidth="1"/>
    <col min="15" max="15" width="16" style="102" customWidth="1"/>
    <col min="16" max="16" width="5.85546875" style="102" customWidth="1"/>
    <col min="17" max="17" width="43.5703125" style="109" customWidth="1"/>
    <col min="18" max="18" width="20.85546875" style="102" customWidth="1"/>
    <col min="19" max="19" width="6.85546875" style="102" customWidth="1"/>
    <col min="20" max="20" width="5" style="102" customWidth="1"/>
    <col min="21" max="21" width="5.5703125" style="102" customWidth="1"/>
    <col min="22" max="22" width="7.140625" style="102" customWidth="1"/>
    <col min="23" max="23" width="6.7109375" style="102" customWidth="1"/>
    <col min="24" max="24" width="7.5703125" style="102" customWidth="1"/>
    <col min="25" max="25" width="9.28515625" style="102" hidden="1" customWidth="1"/>
    <col min="26" max="26" width="19.85546875" style="102" customWidth="1"/>
    <col min="27" max="27" width="10.42578125" style="102" customWidth="1"/>
    <col min="28" max="28" width="9.28515625" style="102" customWidth="1"/>
    <col min="29" max="29" width="9.140625" style="102" customWidth="1"/>
    <col min="30" max="30" width="8.42578125" style="102" customWidth="1"/>
    <col min="31" max="31" width="12" style="102" customWidth="1"/>
    <col min="32" max="32" width="43.5703125" style="102" customWidth="1"/>
    <col min="33" max="33" width="18.85546875" style="102" customWidth="1"/>
    <col min="34" max="35" width="14.5703125" style="102" customWidth="1"/>
    <col min="36" max="36" width="14.85546875" style="102" customWidth="1"/>
    <col min="37" max="37" width="18.5703125" style="102" customWidth="1"/>
    <col min="38" max="38" width="31.5703125" style="102" customWidth="1"/>
    <col min="39" max="16384" width="11.42578125" style="102"/>
  </cols>
  <sheetData>
    <row r="1" spans="1:70" x14ac:dyDescent="0.25">
      <c r="A1" s="263"/>
      <c r="B1" s="264"/>
      <c r="C1" s="264"/>
      <c r="D1" s="264"/>
      <c r="E1" s="265"/>
      <c r="F1" s="201" t="s">
        <v>0</v>
      </c>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199" t="s">
        <v>323</v>
      </c>
      <c r="AL1" s="200"/>
    </row>
    <row r="2" spans="1:70" x14ac:dyDescent="0.25">
      <c r="A2" s="266"/>
      <c r="B2" s="267"/>
      <c r="C2" s="267"/>
      <c r="D2" s="267"/>
      <c r="E2" s="268"/>
      <c r="F2" s="204"/>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6"/>
      <c r="AK2" s="199" t="s">
        <v>325</v>
      </c>
      <c r="AL2" s="200"/>
    </row>
    <row r="3" spans="1:70" x14ac:dyDescent="0.25">
      <c r="A3" s="266"/>
      <c r="B3" s="267"/>
      <c r="C3" s="267"/>
      <c r="D3" s="267"/>
      <c r="E3" s="268"/>
      <c r="F3" s="204"/>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6"/>
      <c r="AK3" s="199" t="s">
        <v>326</v>
      </c>
      <c r="AL3" s="200"/>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row>
    <row r="4" spans="1:70" x14ac:dyDescent="0.25">
      <c r="A4" s="269"/>
      <c r="B4" s="270"/>
      <c r="C4" s="270"/>
      <c r="D4" s="270"/>
      <c r="E4" s="271"/>
      <c r="F4" s="207"/>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9"/>
      <c r="AK4" s="199" t="s">
        <v>324</v>
      </c>
      <c r="AL4" s="200"/>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row>
    <row r="5" spans="1:70" x14ac:dyDescent="0.25">
      <c r="A5" s="134"/>
      <c r="B5" s="134"/>
      <c r="C5" s="135"/>
      <c r="D5" s="134"/>
      <c r="E5" s="134"/>
      <c r="F5" s="136"/>
      <c r="G5" s="137"/>
      <c r="H5" s="136"/>
      <c r="I5" s="136"/>
      <c r="J5" s="136"/>
      <c r="K5" s="136"/>
      <c r="L5" s="136"/>
      <c r="M5" s="136"/>
      <c r="N5" s="136"/>
      <c r="O5" s="136"/>
      <c r="P5" s="136"/>
      <c r="Q5" s="138"/>
      <c r="R5" s="136"/>
      <c r="S5" s="136"/>
      <c r="T5" s="136"/>
      <c r="U5" s="136"/>
      <c r="V5" s="136"/>
      <c r="W5" s="136"/>
      <c r="X5" s="136"/>
      <c r="Y5" s="136"/>
      <c r="Z5" s="136"/>
      <c r="AA5" s="136"/>
      <c r="AB5" s="136"/>
      <c r="AC5" s="136"/>
      <c r="AD5" s="136"/>
      <c r="AE5" s="136"/>
      <c r="AF5" s="136"/>
      <c r="AG5" s="136"/>
      <c r="AH5" s="136"/>
      <c r="AI5" s="136"/>
      <c r="AJ5" s="136"/>
      <c r="AK5" s="136"/>
      <c r="AL5" s="136"/>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row>
    <row r="6" spans="1:70" ht="18" customHeight="1" x14ac:dyDescent="0.25">
      <c r="A6" s="305" t="s">
        <v>63</v>
      </c>
      <c r="B6" s="306"/>
      <c r="C6" s="307"/>
      <c r="D6" s="315" t="s">
        <v>367</v>
      </c>
      <c r="E6" s="316"/>
      <c r="F6" s="316"/>
      <c r="G6" s="316"/>
      <c r="H6" s="316"/>
      <c r="I6" s="316"/>
      <c r="J6" s="316"/>
      <c r="K6" s="316"/>
      <c r="L6" s="316"/>
      <c r="M6" s="316"/>
      <c r="N6" s="316"/>
      <c r="O6" s="317"/>
      <c r="P6" s="136"/>
      <c r="Q6" s="138"/>
      <c r="R6" s="136"/>
      <c r="S6" s="136"/>
      <c r="T6" s="136"/>
      <c r="U6" s="136"/>
      <c r="V6" s="136"/>
      <c r="W6" s="136"/>
      <c r="X6" s="136"/>
      <c r="Y6" s="136"/>
      <c r="Z6" s="136"/>
      <c r="AA6" s="136"/>
      <c r="AB6" s="136"/>
      <c r="AC6" s="136"/>
      <c r="AD6" s="136"/>
      <c r="AE6" s="136"/>
      <c r="AF6" s="136"/>
      <c r="AG6" s="136"/>
      <c r="AH6" s="136"/>
      <c r="AI6" s="136"/>
      <c r="AJ6" s="136"/>
      <c r="AK6" s="136"/>
      <c r="AL6" s="136"/>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row>
    <row r="7" spans="1:70" ht="18" customHeight="1" x14ac:dyDescent="0.25">
      <c r="A7" s="305" t="s">
        <v>64</v>
      </c>
      <c r="B7" s="306"/>
      <c r="C7" s="307"/>
      <c r="D7" s="315" t="s">
        <v>368</v>
      </c>
      <c r="E7" s="316"/>
      <c r="F7" s="316"/>
      <c r="G7" s="316"/>
      <c r="H7" s="316"/>
      <c r="I7" s="316"/>
      <c r="J7" s="316"/>
      <c r="K7" s="316"/>
      <c r="L7" s="316"/>
      <c r="M7" s="316"/>
      <c r="N7" s="316"/>
      <c r="O7" s="317"/>
      <c r="P7" s="136"/>
      <c r="Q7" s="138"/>
      <c r="R7" s="136"/>
      <c r="S7" s="136"/>
      <c r="T7" s="136"/>
      <c r="U7" s="136"/>
      <c r="V7" s="136"/>
      <c r="W7" s="136"/>
      <c r="X7" s="136"/>
      <c r="Y7" s="136"/>
      <c r="Z7" s="136"/>
      <c r="AA7" s="136"/>
      <c r="AB7" s="136"/>
      <c r="AC7" s="136"/>
      <c r="AD7" s="136"/>
      <c r="AE7" s="136"/>
      <c r="AF7" s="136"/>
      <c r="AG7" s="136"/>
      <c r="AH7" s="136"/>
      <c r="AI7" s="136"/>
      <c r="AJ7" s="136"/>
      <c r="AK7" s="136"/>
      <c r="AL7" s="136"/>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row>
    <row r="8" spans="1:70" x14ac:dyDescent="0.25">
      <c r="A8" s="278" t="s">
        <v>65</v>
      </c>
      <c r="B8" s="279"/>
      <c r="C8" s="279"/>
      <c r="D8" s="279"/>
      <c r="E8" s="279"/>
      <c r="F8" s="279"/>
      <c r="G8" s="279"/>
      <c r="H8" s="280"/>
      <c r="I8" s="318" t="s">
        <v>66</v>
      </c>
      <c r="J8" s="319"/>
      <c r="K8" s="319"/>
      <c r="L8" s="319"/>
      <c r="M8" s="319"/>
      <c r="N8" s="319"/>
      <c r="O8" s="320"/>
      <c r="P8" s="224" t="s">
        <v>67</v>
      </c>
      <c r="Q8" s="225"/>
      <c r="R8" s="225"/>
      <c r="S8" s="225"/>
      <c r="T8" s="225"/>
      <c r="U8" s="225"/>
      <c r="V8" s="225"/>
      <c r="W8" s="225"/>
      <c r="X8" s="226"/>
      <c r="Y8" s="227" t="s">
        <v>68</v>
      </c>
      <c r="Z8" s="228"/>
      <c r="AA8" s="228"/>
      <c r="AB8" s="228"/>
      <c r="AC8" s="228"/>
      <c r="AD8" s="228"/>
      <c r="AE8" s="229"/>
      <c r="AF8" s="230" t="s">
        <v>69</v>
      </c>
      <c r="AG8" s="231"/>
      <c r="AH8" s="231"/>
      <c r="AI8" s="231"/>
      <c r="AJ8" s="231"/>
      <c r="AK8" s="231"/>
      <c r="AL8" s="232"/>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row>
    <row r="9" spans="1:70" ht="16.5" customHeight="1" x14ac:dyDescent="0.25">
      <c r="A9" s="308" t="s">
        <v>328</v>
      </c>
      <c r="B9" s="308" t="s">
        <v>327</v>
      </c>
      <c r="C9" s="313" t="s">
        <v>17</v>
      </c>
      <c r="D9" s="311" t="s">
        <v>19</v>
      </c>
      <c r="E9" s="311" t="s">
        <v>21</v>
      </c>
      <c r="F9" s="312" t="s">
        <v>23</v>
      </c>
      <c r="G9" s="310" t="s">
        <v>25</v>
      </c>
      <c r="H9" s="311" t="s">
        <v>70</v>
      </c>
      <c r="I9" s="336" t="s">
        <v>71</v>
      </c>
      <c r="J9" s="332" t="s">
        <v>72</v>
      </c>
      <c r="K9" s="329" t="s">
        <v>73</v>
      </c>
      <c r="L9" s="329" t="s">
        <v>74</v>
      </c>
      <c r="M9" s="330" t="s">
        <v>75</v>
      </c>
      <c r="N9" s="332" t="s">
        <v>72</v>
      </c>
      <c r="O9" s="327" t="s">
        <v>31</v>
      </c>
      <c r="P9" s="323" t="s">
        <v>76</v>
      </c>
      <c r="Q9" s="326" t="s">
        <v>33</v>
      </c>
      <c r="R9" s="333" t="s">
        <v>35</v>
      </c>
      <c r="S9" s="326" t="s">
        <v>77</v>
      </c>
      <c r="T9" s="326"/>
      <c r="U9" s="326"/>
      <c r="V9" s="326"/>
      <c r="W9" s="326"/>
      <c r="X9" s="326"/>
      <c r="Y9" s="325" t="s">
        <v>78</v>
      </c>
      <c r="Z9" s="325" t="s">
        <v>79</v>
      </c>
      <c r="AA9" s="325" t="s">
        <v>72</v>
      </c>
      <c r="AB9" s="325" t="s">
        <v>80</v>
      </c>
      <c r="AC9" s="325" t="s">
        <v>72</v>
      </c>
      <c r="AD9" s="325" t="s">
        <v>81</v>
      </c>
      <c r="AE9" s="321" t="s">
        <v>51</v>
      </c>
      <c r="AF9" s="335" t="s">
        <v>69</v>
      </c>
      <c r="AG9" s="335" t="s">
        <v>82</v>
      </c>
      <c r="AH9" s="335" t="s">
        <v>83</v>
      </c>
      <c r="AI9" s="222" t="s">
        <v>84</v>
      </c>
      <c r="AJ9" s="335" t="s">
        <v>85</v>
      </c>
      <c r="AK9" s="335" t="s">
        <v>86</v>
      </c>
      <c r="AL9" s="335" t="s">
        <v>55</v>
      </c>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row>
    <row r="10" spans="1:70" s="105" customFormat="1" ht="78" customHeight="1" x14ac:dyDescent="0.25">
      <c r="A10" s="309"/>
      <c r="B10" s="309"/>
      <c r="C10" s="313"/>
      <c r="D10" s="314"/>
      <c r="E10" s="314"/>
      <c r="F10" s="313"/>
      <c r="G10" s="311"/>
      <c r="H10" s="314"/>
      <c r="I10" s="327"/>
      <c r="J10" s="331"/>
      <c r="K10" s="327"/>
      <c r="L10" s="327"/>
      <c r="M10" s="331"/>
      <c r="N10" s="331"/>
      <c r="O10" s="328"/>
      <c r="P10" s="324"/>
      <c r="Q10" s="326"/>
      <c r="R10" s="334"/>
      <c r="S10" s="139" t="s">
        <v>87</v>
      </c>
      <c r="T10" s="139" t="s">
        <v>88</v>
      </c>
      <c r="U10" s="139" t="s">
        <v>89</v>
      </c>
      <c r="V10" s="139" t="s">
        <v>90</v>
      </c>
      <c r="W10" s="139" t="s">
        <v>91</v>
      </c>
      <c r="X10" s="139" t="s">
        <v>92</v>
      </c>
      <c r="Y10" s="325"/>
      <c r="Z10" s="325"/>
      <c r="AA10" s="325"/>
      <c r="AB10" s="325"/>
      <c r="AC10" s="325"/>
      <c r="AD10" s="325"/>
      <c r="AE10" s="322"/>
      <c r="AF10" s="335"/>
      <c r="AG10" s="335"/>
      <c r="AH10" s="335"/>
      <c r="AI10" s="223"/>
      <c r="AJ10" s="335"/>
      <c r="AK10" s="335"/>
      <c r="AL10" s="335"/>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row>
    <row r="11" spans="1:70" s="107" customFormat="1" ht="214.5" customHeight="1" x14ac:dyDescent="0.25">
      <c r="A11" s="260">
        <v>1</v>
      </c>
      <c r="B11" s="293" t="s">
        <v>349</v>
      </c>
      <c r="C11" s="254" t="s">
        <v>93</v>
      </c>
      <c r="D11" s="254" t="s">
        <v>94</v>
      </c>
      <c r="E11" s="254" t="s">
        <v>95</v>
      </c>
      <c r="F11" s="257" t="s">
        <v>96</v>
      </c>
      <c r="G11" s="254" t="s">
        <v>97</v>
      </c>
      <c r="H11" s="302">
        <v>2</v>
      </c>
      <c r="I11" s="242" t="str">
        <f>IF(H11&lt;=0,"",IF(H11&lt;=2,"Muy Baja",IF(H11&lt;=24,"Baja",IF(H11&lt;=500,"Media",IF(H11&lt;=5000,"Alta","Muy Alta")))))</f>
        <v>Muy Baja</v>
      </c>
      <c r="J11" s="233">
        <f>IF(I11="","",IF(I11="Muy Baja",0.2,IF(I11="Baja",0.4,IF(I11="Media",0.6,IF(I11="Alta",0.8,IF(I11="Muy Alta",1,))))))</f>
        <v>0.2</v>
      </c>
      <c r="K11" s="239" t="s">
        <v>162</v>
      </c>
      <c r="L11" s="233" t="str">
        <f>IF(NOT(ISERROR(MATCH(K11,'Tabla Impacto'!$B$225:$B$227,0))),'Tabla Impacto'!$G$227&amp;"Por favor no seleccionar los criterios de impacto(Afectación Económica o presupuestal y Pérdida Reputacional)",K11)</f>
        <v xml:space="preserve">     El riesgo afecta la imagen de de la entidad con efecto publicitario sostenido a nivel de sector administrativo, nivel departamental o municipal</v>
      </c>
      <c r="M11" s="242" t="str">
        <f>IF(OR(L11='Tabla Impacto'!$C$15,L11='Tabla Impacto'!$E$15),"Leve",IF(OR(L11='Tabla Impacto'!$C$16,L11='Tabla Impacto'!$E$16),"Menor",IF(OR(L11='Tabla Impacto'!$C$17,L11='Tabla Impacto'!$E$17),"Moderado",IF(OR(L11='Tabla Impacto'!$C$18,L11='Tabla Impacto'!$E$18),"Mayor",IF(OR(L11='Tabla Impacto'!$C$19,L11='Tabla Impacto'!$E$19),"Catastrófico","")))))</f>
        <v>Mayor</v>
      </c>
      <c r="N11" s="233">
        <f>IF(M11="","",IF(M11="Leve",0.2,IF(M11="Menor",0.4,IF(M11="Moderado",0.6,IF(M11="Mayor",0.8,IF(M11="Catastrófico",1,))))))</f>
        <v>0.8</v>
      </c>
      <c r="O11" s="236" t="str">
        <f>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Alto</v>
      </c>
      <c r="P11" s="141">
        <v>1</v>
      </c>
      <c r="Q11" s="142" t="s">
        <v>99</v>
      </c>
      <c r="R11" s="143" t="str">
        <f>IF(OR(S11="Preventivo",S11="Detectivo"),"Probabilidad",IF(S11="Correctivo","Impacto",""))</f>
        <v>Probabilidad</v>
      </c>
      <c r="S11" s="119" t="s">
        <v>100</v>
      </c>
      <c r="T11" s="119" t="s">
        <v>101</v>
      </c>
      <c r="U11" s="122" t="str">
        <f>IF(AND(S11="Preventivo",T11="Automático"),"50%",IF(AND(S11="Preventivo",T11="Manual"),"40%",IF(AND(S11="Detectivo",T11="Automático"),"40%",IF(AND(S11="Detectivo",T11="Manual"),"30%",IF(AND(S11="Correctivo",T11="Automático"),"35%",IF(AND(S11="Correctivo",T11="Manual"),"25%",""))))))</f>
        <v>40%</v>
      </c>
      <c r="V11" s="119" t="s">
        <v>102</v>
      </c>
      <c r="W11" s="119" t="s">
        <v>103</v>
      </c>
      <c r="X11" s="119" t="s">
        <v>104</v>
      </c>
      <c r="Y11" s="144">
        <f>IFERROR(IF(R11="Probabilidad",(J11-(+J11*U11)),IF(R11="Impacto",J11,"")),"")</f>
        <v>0.12</v>
      </c>
      <c r="Z11" s="118" t="str">
        <f>IFERROR(IF(Y11="","",IF(Y11&lt;=0.2,"Muy Baja",IF(Y11&lt;=0.4,"Baja",IF(Y11&lt;=0.6,"Media",IF(Y11&lt;=0.8,"Alta","Muy Alta"))))),"")</f>
        <v>Muy Baja</v>
      </c>
      <c r="AA11" s="122">
        <f>+Y11</f>
        <v>0.12</v>
      </c>
      <c r="AB11" s="118" t="str">
        <f>IFERROR(IF(AC11="","",IF(AC11&lt;=0.2,"Leve",IF(AC11&lt;=0.4,"Menor",IF(AC11&lt;=0.6,"Moderado",IF(AC11&lt;=0.8,"Mayor","Catastrófico"))))),"")</f>
        <v>Mayor</v>
      </c>
      <c r="AC11" s="122">
        <f>IFERROR(IF(R11="Impacto",(N11-(+N11*U11)),IF(R11="Probabilidad",N11,"")),"")</f>
        <v>0.8</v>
      </c>
      <c r="AD11" s="127" t="str">
        <f>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Alto</v>
      </c>
      <c r="AE11" s="119" t="s">
        <v>105</v>
      </c>
      <c r="AF11" s="145" t="s">
        <v>369</v>
      </c>
      <c r="AG11" s="145" t="s">
        <v>106</v>
      </c>
      <c r="AH11" s="112">
        <v>45320</v>
      </c>
      <c r="AI11" s="112">
        <v>45641</v>
      </c>
      <c r="AJ11" s="112"/>
      <c r="AK11" s="113"/>
      <c r="AL11" s="114"/>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row>
    <row r="12" spans="1:70" ht="126" x14ac:dyDescent="0.25">
      <c r="A12" s="261"/>
      <c r="B12" s="294"/>
      <c r="C12" s="255"/>
      <c r="D12" s="255"/>
      <c r="E12" s="255"/>
      <c r="F12" s="258"/>
      <c r="G12" s="255"/>
      <c r="H12" s="303"/>
      <c r="I12" s="243"/>
      <c r="J12" s="234"/>
      <c r="K12" s="240"/>
      <c r="L12" s="234">
        <f ca="1">IF(NOT(ISERROR(MATCH(K12,_xlfn.ANCHORARRAY(F35),0))),J37&amp;"Por favor no seleccionar los criterios de impacto",K12)</f>
        <v>0</v>
      </c>
      <c r="M12" s="243"/>
      <c r="N12" s="234"/>
      <c r="O12" s="237"/>
      <c r="P12" s="141">
        <v>2</v>
      </c>
      <c r="Q12" s="158" t="s">
        <v>337</v>
      </c>
      <c r="R12" s="161" t="str">
        <f>IF(OR(S12="Preventivo",S12="Detectivo"),"Probabilidad",IF(S12="Correctivo","Impacto",""))</f>
        <v>Probabilidad</v>
      </c>
      <c r="S12" s="162" t="s">
        <v>100</v>
      </c>
      <c r="T12" s="162" t="s">
        <v>101</v>
      </c>
      <c r="U12" s="163">
        <v>0.4</v>
      </c>
      <c r="V12" s="162" t="s">
        <v>102</v>
      </c>
      <c r="W12" s="162" t="s">
        <v>103</v>
      </c>
      <c r="X12" s="162" t="s">
        <v>104</v>
      </c>
      <c r="Y12" s="144">
        <f>IFERROR(IF(R12="Probabilidad",(J12-(+J12*U12)),IF(R12="Impacto",J12,"")),"")</f>
        <v>0</v>
      </c>
      <c r="Z12" s="164" t="str">
        <f>IFERROR(IF(Y12="","",IF(Y12&lt;=0.2,"Muy Baja",IF(Y12&lt;=0.4,"Baja",IF(Y12&lt;=0.6,"Media",IF(Y12&lt;=0.8,"Alta","Muy Alta"))))),"")</f>
        <v>Muy Baja</v>
      </c>
      <c r="AA12" s="122">
        <f>+Y12</f>
        <v>0</v>
      </c>
      <c r="AB12" s="164" t="str">
        <f>IFERROR(IF(AC12="","",IF(AC12&lt;=0.2,"Leve",IF(AC12&lt;=0.4,"Menor",IF(AC12&lt;=0.6,"Moderado",IF(AC12&lt;=0.8,"Mayor","Catastrófico"))))),"")</f>
        <v>Leve</v>
      </c>
      <c r="AC12" s="122">
        <f>IFERROR(IF(R12="Impacto",(N12-(+N12*U12)),IF(R12="Probabilidad",N12,"")),"")</f>
        <v>0</v>
      </c>
      <c r="AD12" s="165"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Bajo</v>
      </c>
      <c r="AE12" s="119" t="s">
        <v>105</v>
      </c>
      <c r="AF12" s="145" t="s">
        <v>370</v>
      </c>
      <c r="AG12" s="145" t="s">
        <v>106</v>
      </c>
      <c r="AH12" s="112">
        <v>45320</v>
      </c>
      <c r="AI12" s="112">
        <v>45641</v>
      </c>
      <c r="AJ12" s="112"/>
      <c r="AK12" s="113"/>
      <c r="AL12" s="11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row>
    <row r="13" spans="1:70" ht="18" customHeight="1" x14ac:dyDescent="0.25">
      <c r="A13" s="261"/>
      <c r="B13" s="294"/>
      <c r="C13" s="255"/>
      <c r="D13" s="255"/>
      <c r="E13" s="255"/>
      <c r="F13" s="258"/>
      <c r="G13" s="255"/>
      <c r="H13" s="303"/>
      <c r="I13" s="243"/>
      <c r="J13" s="234"/>
      <c r="K13" s="240"/>
      <c r="L13" s="234">
        <f ca="1">IF(NOT(ISERROR(MATCH(K13,_xlfn.ANCHORARRAY(F36),0))),J38&amp;"Por favor no seleccionar los criterios de impacto",K13)</f>
        <v>0</v>
      </c>
      <c r="M13" s="243"/>
      <c r="N13" s="234"/>
      <c r="O13" s="237"/>
      <c r="P13" s="155">
        <v>3</v>
      </c>
      <c r="Q13" s="147"/>
      <c r="R13" s="148"/>
      <c r="S13" s="115"/>
      <c r="T13" s="115"/>
      <c r="U13" s="149"/>
      <c r="V13" s="115"/>
      <c r="W13" s="115"/>
      <c r="X13" s="115"/>
      <c r="Y13" s="150"/>
      <c r="Z13" s="118" t="str">
        <f t="shared" ref="Z13:Z16" si="0">IFERROR(IF(Y13="","",IF(Y13&lt;=0.2,"Muy Baja",IF(Y13&lt;=0.4,"Baja",IF(Y13&lt;=0.6,"Media",IF(Y13&lt;=0.8,"Alta","Muy Alta"))))),"")</f>
        <v/>
      </c>
      <c r="AA13" s="151"/>
      <c r="AB13" s="152"/>
      <c r="AC13" s="151"/>
      <c r="AD13" s="153"/>
      <c r="AE13" s="154"/>
      <c r="AF13" s="113"/>
      <c r="AG13" s="156"/>
      <c r="AH13" s="157"/>
      <c r="AI13" s="157"/>
      <c r="AJ13" s="157"/>
      <c r="AK13" s="113"/>
      <c r="AL13" s="156"/>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row>
    <row r="14" spans="1:70" ht="18" customHeight="1" x14ac:dyDescent="0.25">
      <c r="A14" s="261"/>
      <c r="B14" s="294"/>
      <c r="C14" s="255"/>
      <c r="D14" s="255"/>
      <c r="E14" s="255"/>
      <c r="F14" s="258"/>
      <c r="G14" s="255"/>
      <c r="H14" s="303"/>
      <c r="I14" s="243"/>
      <c r="J14" s="234"/>
      <c r="K14" s="240"/>
      <c r="L14" s="234">
        <f ca="1">IF(NOT(ISERROR(MATCH(K14,_xlfn.ANCHORARRAY(F37),0))),J39&amp;"Por favor no seleccionar los criterios de impacto",K14)</f>
        <v>0</v>
      </c>
      <c r="M14" s="243"/>
      <c r="N14" s="234"/>
      <c r="O14" s="237"/>
      <c r="P14" s="155">
        <v>4</v>
      </c>
      <c r="Q14" s="158"/>
      <c r="R14" s="148"/>
      <c r="S14" s="115"/>
      <c r="T14" s="115"/>
      <c r="U14" s="149"/>
      <c r="V14" s="115"/>
      <c r="W14" s="115"/>
      <c r="X14" s="115"/>
      <c r="Y14" s="150"/>
      <c r="Z14" s="118" t="str">
        <f t="shared" si="0"/>
        <v/>
      </c>
      <c r="AA14" s="151"/>
      <c r="AB14" s="152"/>
      <c r="AC14" s="151"/>
      <c r="AD14" s="153"/>
      <c r="AE14" s="154"/>
      <c r="AF14" s="113"/>
      <c r="AG14" s="156"/>
      <c r="AH14" s="157"/>
      <c r="AI14" s="157"/>
      <c r="AJ14" s="157"/>
      <c r="AK14" s="113"/>
      <c r="AL14" s="156"/>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row>
    <row r="15" spans="1:70" ht="18" customHeight="1" x14ac:dyDescent="0.25">
      <c r="A15" s="261"/>
      <c r="B15" s="294"/>
      <c r="C15" s="255"/>
      <c r="D15" s="255"/>
      <c r="E15" s="255"/>
      <c r="F15" s="258"/>
      <c r="G15" s="255"/>
      <c r="H15" s="303"/>
      <c r="I15" s="243"/>
      <c r="J15" s="234"/>
      <c r="K15" s="240"/>
      <c r="L15" s="234">
        <f ca="1">IF(NOT(ISERROR(MATCH(K15,_xlfn.ANCHORARRAY(F38),0))),J40&amp;"Por favor no seleccionar los criterios de impacto",K15)</f>
        <v>0</v>
      </c>
      <c r="M15" s="243"/>
      <c r="N15" s="234"/>
      <c r="O15" s="237"/>
      <c r="P15" s="155">
        <v>5</v>
      </c>
      <c r="Q15" s="158"/>
      <c r="R15" s="148" t="str">
        <f t="shared" ref="R15:R16" si="1">IF(OR(S15="Preventivo",S15="Detectivo"),"Probabilidad",IF(S15="Correctivo","Impacto",""))</f>
        <v/>
      </c>
      <c r="S15" s="115"/>
      <c r="T15" s="115"/>
      <c r="U15" s="149" t="str">
        <f t="shared" ref="U15:U16" si="2">IF(AND(S15="Preventivo",T15="Automático"),"50%",IF(AND(S15="Preventivo",T15="Manual"),"40%",IF(AND(S15="Detectivo",T15="Automático"),"40%",IF(AND(S15="Detectivo",T15="Manual"),"30%",IF(AND(S15="Correctivo",T15="Automático"),"35%",IF(AND(S15="Correctivo",T15="Manual"),"25%",""))))))</f>
        <v/>
      </c>
      <c r="V15" s="115"/>
      <c r="W15" s="115"/>
      <c r="X15" s="115"/>
      <c r="Y15" s="150" t="str">
        <f t="shared" ref="Y15:Y16" si="3">IFERROR(IF(AND(R14="Probabilidad",R15="Probabilidad"),(AA14-(+AA14*U15)),IF(AND(R14="Impacto",R15="Probabilidad"),(AA13-(+AA13*U15)),IF(R15="Impacto",AA14,""))),"")</f>
        <v/>
      </c>
      <c r="Z15" s="118" t="str">
        <f t="shared" si="0"/>
        <v/>
      </c>
      <c r="AA15" s="151" t="str">
        <f t="shared" ref="AA15:AA16" si="4">+Y15</f>
        <v/>
      </c>
      <c r="AB15" s="152" t="str">
        <f t="shared" ref="AB15:AB35" si="5">IFERROR(IF(AC15="","",IF(AC15&lt;=0.2,"Leve",IF(AC15&lt;=0.4,"Menor",IF(AC15&lt;=0.6,"Moderado",IF(AC15&lt;=0.8,"Mayor","Catastrófico"))))),"")</f>
        <v/>
      </c>
      <c r="AC15" s="151" t="str">
        <f t="shared" ref="AC15:AC16" si="6">IFERROR(IF(AND(R14="Impacto",R15="Impacto"),(AC14-(+AC14*U15)),IF(AND(R14="Probabilidad",R15="Impacto"),(AC13-(+AC13*U15)),IF(R15="Probabilidad",AC14,""))),"")</f>
        <v/>
      </c>
      <c r="AD15" s="153" t="str">
        <f t="shared" ref="AD15:AD16" si="7">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154"/>
      <c r="AF15" s="113"/>
      <c r="AG15" s="156"/>
      <c r="AH15" s="157"/>
      <c r="AI15" s="157"/>
      <c r="AJ15" s="157"/>
      <c r="AK15" s="113"/>
      <c r="AL15" s="156"/>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row>
    <row r="16" spans="1:70" ht="18" customHeight="1" x14ac:dyDescent="0.25">
      <c r="A16" s="262"/>
      <c r="B16" s="295"/>
      <c r="C16" s="256"/>
      <c r="D16" s="256"/>
      <c r="E16" s="256"/>
      <c r="F16" s="259"/>
      <c r="G16" s="256"/>
      <c r="H16" s="304"/>
      <c r="I16" s="244"/>
      <c r="J16" s="235"/>
      <c r="K16" s="241"/>
      <c r="L16" s="235">
        <f ca="1">IF(NOT(ISERROR(MATCH(K16,_xlfn.ANCHORARRAY(F39),0))),J47&amp;"Por favor no seleccionar los criterios de impacto",K16)</f>
        <v>0</v>
      </c>
      <c r="M16" s="244"/>
      <c r="N16" s="235"/>
      <c r="O16" s="238"/>
      <c r="P16" s="155">
        <v>6</v>
      </c>
      <c r="Q16" s="158"/>
      <c r="R16" s="148" t="str">
        <f t="shared" si="1"/>
        <v/>
      </c>
      <c r="S16" s="115"/>
      <c r="T16" s="115"/>
      <c r="U16" s="149" t="str">
        <f t="shared" si="2"/>
        <v/>
      </c>
      <c r="V16" s="115"/>
      <c r="W16" s="115"/>
      <c r="X16" s="115"/>
      <c r="Y16" s="150" t="str">
        <f t="shared" si="3"/>
        <v/>
      </c>
      <c r="Z16" s="118" t="str">
        <f t="shared" si="0"/>
        <v/>
      </c>
      <c r="AA16" s="151" t="str">
        <f t="shared" si="4"/>
        <v/>
      </c>
      <c r="AB16" s="152" t="str">
        <f t="shared" si="5"/>
        <v/>
      </c>
      <c r="AC16" s="151" t="str">
        <f t="shared" si="6"/>
        <v/>
      </c>
      <c r="AD16" s="153" t="str">
        <f t="shared" si="7"/>
        <v/>
      </c>
      <c r="AE16" s="154"/>
      <c r="AF16" s="113"/>
      <c r="AG16" s="156"/>
      <c r="AH16" s="157"/>
      <c r="AI16" s="157"/>
      <c r="AJ16" s="157"/>
      <c r="AK16" s="113"/>
      <c r="AL16" s="156"/>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row>
    <row r="17" spans="1:70" ht="131.25" customHeight="1" x14ac:dyDescent="0.25">
      <c r="A17" s="260">
        <v>2</v>
      </c>
      <c r="B17" s="337" t="s">
        <v>366</v>
      </c>
      <c r="C17" s="245" t="s">
        <v>93</v>
      </c>
      <c r="D17" s="248" t="s">
        <v>341</v>
      </c>
      <c r="E17" s="245" t="s">
        <v>95</v>
      </c>
      <c r="F17" s="245" t="s">
        <v>342</v>
      </c>
      <c r="G17" s="248" t="s">
        <v>97</v>
      </c>
      <c r="H17" s="251">
        <v>3</v>
      </c>
      <c r="I17" s="242" t="str">
        <f>IF(H17&lt;=0,"",IF(H17&lt;=2,"Muy Baja",IF(H17&lt;=24,"Baja",IF(H17&lt;=500,"Media",IF(H17&lt;=5000,"Alta","Muy Alta")))))</f>
        <v>Baja</v>
      </c>
      <c r="J17" s="233">
        <f>IF(I17="","",IF(I17="Muy Baja",0.2,IF(I17="Baja",0.4,IF(I17="Media",0.6,IF(I17="Alta",0.8,IF(I17="Muy Alta",1,))))))</f>
        <v>0.4</v>
      </c>
      <c r="K17" s="239" t="s">
        <v>159</v>
      </c>
      <c r="L17" s="213" t="str">
        <f>IF(NOT(ISERROR(MATCH(K17,'[1]Tabla Impacto'!$B$225:$B$227,0))),'[1]Tabla Impacto'!$G$227&amp;"Por favor no seleccionar los criterios de impacto(Afectación Económica o presupuestal y Pérdida Reputacional)",K17)</f>
        <v xml:space="preserve">     El riesgo afecta la imagen de la entidad internamente, de conocimiento general, nivel interno, de junta dircetiva y accionistas y/o de provedores</v>
      </c>
      <c r="M17" s="242" t="str">
        <f>IF(OR(L17='[1]Tabla Impacto'!$C$15,L17='[1]Tabla Impacto'!$E$15),"Leve",IF(OR(L17='[1]Tabla Impacto'!$C$16,L17='[1]Tabla Impacto'!$E$16),"Menor",IF(OR(L17='[1]Tabla Impacto'!$C$17,L17='[1]Tabla Impacto'!$E$17),"Moderado",IF(OR(L17='[1]Tabla Impacto'!$C$18,L17='[1]Tabla Impacto'!$E$18),"Mayor",IF(OR(L17='[1]Tabla Impacto'!$C$19,L17='[1]Tabla Impacto'!$E$19),"Catastrófico","")))))</f>
        <v>Menor</v>
      </c>
      <c r="N17" s="233">
        <f t="shared" ref="N17" si="8">IF(M17="","",IF(M17="Leve",0.2,IF(M17="Menor",0.4,IF(M17="Moderado",0.6,IF(M17="Mayor",0.8,IF(M17="Catastrófico",1,))))))</f>
        <v>0.4</v>
      </c>
      <c r="O17" s="236" t="str">
        <f t="shared" ref="O17" si="9">IF(OR(AND(I17="Muy Baja",M17="Leve"),AND(I17="Muy Baja",M17="Menor"),AND(I17="Baja",M17="Leve")),"Bajo",IF(OR(AND(I17="Muy baja",M17="Moderado"),AND(I17="Baja",M17="Menor"),AND(I17="Baja",M17="Moderado"),AND(I17="Media",M17="Leve"),AND(I17="Media",M17="Menor"),AND(I17="Media",M17="Moderado"),AND(I17="Alta",M17="Leve"),AND(I17="Alta",M17="Menor")),"Moderado",IF(OR(AND(I17="Muy Baja",M17="Mayor"),AND(I17="Baja",M17="Mayor"),AND(I17="Media",M17="Mayor"),AND(I17="Alta",M17="Moderado"),AND(I17="Alta",M17="Mayor"),AND(I17="Muy Alta",M17="Leve"),AND(I17="Muy Alta",M17="Menor"),AND(I17="Muy Alta",M17="Moderado"),AND(I17="Muy Alta",M17="Mayor")),"Alto",IF(OR(AND(I17="Muy Baja",M17="Catastrófico"),AND(I17="Baja",M17="Catastrófico"),AND(I17="Media",M17="Catastrófico"),AND(I17="Alta",M17="Catastrófico"),AND(I17="Muy Alta",M17="Catastrófico")),"Extremo",""))))</f>
        <v>Moderado</v>
      </c>
      <c r="P17" s="141">
        <v>1</v>
      </c>
      <c r="Q17" s="158" t="s">
        <v>343</v>
      </c>
      <c r="R17" s="161" t="s">
        <v>110</v>
      </c>
      <c r="S17" s="162" t="s">
        <v>338</v>
      </c>
      <c r="T17" s="162" t="s">
        <v>101</v>
      </c>
      <c r="U17" s="163" t="str">
        <f t="shared" ref="U17" si="10">IF(AND(S17="Preventivo",T17="Automático"),"50%",IF(AND(S17="Preventivo",T17="Manual"),"40%",IF(AND(S17="Detectivo",T17="Automático"),"40%",IF(AND(S17="Detectivo",T17="Manual"),"30%",IF(AND(S17="Correctivo",T17="Automático"),"35%",IF(AND(S17="Correctivo",T17="Manual"),"25%",""))))))</f>
        <v>40%</v>
      </c>
      <c r="V17" s="162" t="s">
        <v>102</v>
      </c>
      <c r="W17" s="162" t="s">
        <v>103</v>
      </c>
      <c r="X17" s="162" t="s">
        <v>104</v>
      </c>
      <c r="Y17" s="144">
        <f>IFERROR(IF(AND(R28="Probabilidad",R17="Probabilidad"),(AA28-(+AA28*U17)),IF(R17="Probabilidad",(J28-(+J28*U17)),IF(R17="Impacto",AA28,""))),"")</f>
        <v>0</v>
      </c>
      <c r="Z17" s="164" t="str">
        <f t="shared" ref="Z17" si="11">IFERROR(IF(Y17="","",IF(Y17&lt;=0.2,"Muy Baja",IF(Y17&lt;=0.4,"Baja",IF(Y17&lt;=0.6,"Media",IF(Y17&lt;=0.8,"Alta","Muy Alta"))))),"")</f>
        <v>Muy Baja</v>
      </c>
      <c r="AA17" s="122">
        <f t="shared" ref="AA17" si="12">+Y17</f>
        <v>0</v>
      </c>
      <c r="AB17" s="164" t="str">
        <f t="shared" ref="AB17" si="13">IFERROR(IF(AC17="","",IF(AC17&lt;=0.2,"Leve",IF(AC17&lt;=0.4,"Menor",IF(AC17&lt;=0.6,"Moderado",IF(AC17&lt;=0.8,"Mayor","Catastrófico"))))),"")</f>
        <v>Leve</v>
      </c>
      <c r="AC17" s="122">
        <f>IFERROR(IF(AND(R28="Impacto",R17="Impacto"),(AC28-(+AC28*U17)),IF(R17="Impacto",(N28-(+N28*U17)),IF(R17="Probabilidad",AC28,""))),"")</f>
        <v>0</v>
      </c>
      <c r="AD17" s="165" t="str">
        <f t="shared" ref="AD17" si="14">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Bajo</v>
      </c>
      <c r="AE17" s="119" t="s">
        <v>105</v>
      </c>
      <c r="AF17" s="145" t="s">
        <v>344</v>
      </c>
      <c r="AG17" s="145" t="s">
        <v>339</v>
      </c>
      <c r="AH17" s="112">
        <v>45320</v>
      </c>
      <c r="AI17" s="112">
        <v>45641</v>
      </c>
      <c r="AJ17" s="157"/>
      <c r="AK17" s="113"/>
      <c r="AL17" s="156"/>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row>
    <row r="18" spans="1:70" ht="18" customHeight="1" x14ac:dyDescent="0.25">
      <c r="A18" s="261"/>
      <c r="B18" s="338"/>
      <c r="C18" s="246"/>
      <c r="D18" s="249"/>
      <c r="E18" s="246"/>
      <c r="F18" s="246"/>
      <c r="G18" s="249"/>
      <c r="H18" s="252"/>
      <c r="I18" s="243"/>
      <c r="J18" s="234"/>
      <c r="K18" s="240"/>
      <c r="L18" s="214">
        <f ca="1">IF(NOT(ISERROR(MATCH(K18,_xlfn.ANCHORARRAY(F65),0))),J67&amp;"Por favor no seleccionar los criterios de impacto",K18)</f>
        <v>0</v>
      </c>
      <c r="M18" s="243"/>
      <c r="N18" s="234"/>
      <c r="O18" s="237"/>
      <c r="P18" s="141">
        <v>2</v>
      </c>
      <c r="Q18" s="158"/>
      <c r="R18" s="148"/>
      <c r="S18" s="115"/>
      <c r="T18" s="115"/>
      <c r="U18" s="149"/>
      <c r="V18" s="115"/>
      <c r="W18" s="115"/>
      <c r="X18" s="115"/>
      <c r="Y18" s="150"/>
      <c r="Z18" s="152"/>
      <c r="AA18" s="151"/>
      <c r="AB18" s="152"/>
      <c r="AC18" s="151"/>
      <c r="AD18" s="153"/>
      <c r="AE18" s="154"/>
      <c r="AF18" s="113"/>
      <c r="AG18" s="156"/>
      <c r="AH18" s="157"/>
      <c r="AI18" s="157"/>
      <c r="AJ18" s="157"/>
      <c r="AK18" s="113"/>
      <c r="AL18" s="156"/>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row>
    <row r="19" spans="1:70" ht="18" customHeight="1" x14ac:dyDescent="0.25">
      <c r="A19" s="261"/>
      <c r="B19" s="338"/>
      <c r="C19" s="246"/>
      <c r="D19" s="249"/>
      <c r="E19" s="246"/>
      <c r="F19" s="246"/>
      <c r="G19" s="249"/>
      <c r="H19" s="252"/>
      <c r="I19" s="243"/>
      <c r="J19" s="234"/>
      <c r="K19" s="240"/>
      <c r="L19" s="214">
        <f ca="1">IF(NOT(ISERROR(MATCH(K19,_xlfn.ANCHORARRAY(F66),0))),J68&amp;"Por favor no seleccionar los criterios de impacto",K19)</f>
        <v>0</v>
      </c>
      <c r="M19" s="243"/>
      <c r="N19" s="234"/>
      <c r="O19" s="237"/>
      <c r="P19" s="141">
        <v>3</v>
      </c>
      <c r="Q19" s="147"/>
      <c r="R19" s="148"/>
      <c r="S19" s="115"/>
      <c r="T19" s="115"/>
      <c r="U19" s="149"/>
      <c r="V19" s="115"/>
      <c r="W19" s="115"/>
      <c r="X19" s="115"/>
      <c r="Y19" s="150"/>
      <c r="Z19" s="152"/>
      <c r="AA19" s="151"/>
      <c r="AB19" s="152"/>
      <c r="AC19" s="151"/>
      <c r="AD19" s="153"/>
      <c r="AE19" s="154"/>
      <c r="AF19" s="113"/>
      <c r="AG19" s="156"/>
      <c r="AH19" s="157"/>
      <c r="AI19" s="157"/>
      <c r="AJ19" s="157"/>
      <c r="AK19" s="113"/>
      <c r="AL19" s="156"/>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row>
    <row r="20" spans="1:70" ht="18" customHeight="1" x14ac:dyDescent="0.25">
      <c r="A20" s="261"/>
      <c r="B20" s="338"/>
      <c r="C20" s="246"/>
      <c r="D20" s="249"/>
      <c r="E20" s="246"/>
      <c r="F20" s="246"/>
      <c r="G20" s="249"/>
      <c r="H20" s="252"/>
      <c r="I20" s="243"/>
      <c r="J20" s="234"/>
      <c r="K20" s="240"/>
      <c r="L20" s="214">
        <f ca="1">IF(NOT(ISERROR(MATCH(K20,_xlfn.ANCHORARRAY(F67),0))),J69&amp;"Por favor no seleccionar los criterios de impacto",K20)</f>
        <v>0</v>
      </c>
      <c r="M20" s="243"/>
      <c r="N20" s="234"/>
      <c r="O20" s="237"/>
      <c r="P20" s="141">
        <v>4</v>
      </c>
      <c r="Q20" s="158"/>
      <c r="R20" s="148"/>
      <c r="S20" s="115"/>
      <c r="T20" s="115"/>
      <c r="U20" s="149"/>
      <c r="V20" s="115"/>
      <c r="W20" s="115"/>
      <c r="X20" s="115"/>
      <c r="Y20" s="150"/>
      <c r="Z20" s="152"/>
      <c r="AA20" s="151"/>
      <c r="AB20" s="152"/>
      <c r="AC20" s="151"/>
      <c r="AD20" s="153"/>
      <c r="AE20" s="154"/>
      <c r="AF20" s="113"/>
      <c r="AG20" s="156"/>
      <c r="AH20" s="157"/>
      <c r="AI20" s="157"/>
      <c r="AJ20" s="157"/>
      <c r="AK20" s="113"/>
      <c r="AL20" s="156"/>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row>
    <row r="21" spans="1:70" ht="27.75" customHeight="1" x14ac:dyDescent="0.25">
      <c r="A21" s="261"/>
      <c r="B21" s="338"/>
      <c r="C21" s="246"/>
      <c r="D21" s="249"/>
      <c r="E21" s="246"/>
      <c r="F21" s="246"/>
      <c r="G21" s="249"/>
      <c r="H21" s="252"/>
      <c r="I21" s="243"/>
      <c r="J21" s="234"/>
      <c r="K21" s="240"/>
      <c r="L21" s="214">
        <f ca="1">IF(NOT(ISERROR(MATCH(K21,_xlfn.ANCHORARRAY(F68),0))),J70&amp;"Por favor no seleccionar los criterios de impacto",K21)</f>
        <v>0</v>
      </c>
      <c r="M21" s="243"/>
      <c r="N21" s="234"/>
      <c r="O21" s="237"/>
      <c r="P21" s="141">
        <v>5</v>
      </c>
      <c r="Q21" s="158"/>
      <c r="R21" s="148"/>
      <c r="S21" s="115"/>
      <c r="T21" s="115"/>
      <c r="U21" s="149"/>
      <c r="V21" s="115"/>
      <c r="W21" s="115"/>
      <c r="X21" s="115"/>
      <c r="Y21" s="150"/>
      <c r="Z21" s="152"/>
      <c r="AA21" s="151"/>
      <c r="AB21" s="152"/>
      <c r="AC21" s="151"/>
      <c r="AD21" s="153"/>
      <c r="AE21" s="154"/>
      <c r="AF21" s="113"/>
      <c r="AG21" s="156"/>
      <c r="AH21" s="157"/>
      <c r="AI21" s="157"/>
      <c r="AJ21" s="157"/>
      <c r="AK21" s="113"/>
      <c r="AL21" s="156"/>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row>
    <row r="22" spans="1:70" ht="57.75" customHeight="1" x14ac:dyDescent="0.25">
      <c r="A22" s="262"/>
      <c r="B22" s="339"/>
      <c r="C22" s="247"/>
      <c r="D22" s="250"/>
      <c r="E22" s="247"/>
      <c r="F22" s="247"/>
      <c r="G22" s="250"/>
      <c r="H22" s="253"/>
      <c r="I22" s="244"/>
      <c r="J22" s="235"/>
      <c r="K22" s="241"/>
      <c r="L22" s="215">
        <f ca="1">IF(NOT(ISERROR(MATCH(K22,_xlfn.ANCHORARRAY(F69),0))),J71&amp;"Por favor no seleccionar los criterios de impacto",K22)</f>
        <v>0</v>
      </c>
      <c r="M22" s="244"/>
      <c r="N22" s="235"/>
      <c r="O22" s="238"/>
      <c r="P22" s="141">
        <v>6</v>
      </c>
      <c r="Q22" s="158"/>
      <c r="R22" s="148"/>
      <c r="S22" s="115"/>
      <c r="T22" s="115"/>
      <c r="U22" s="149"/>
      <c r="V22" s="115"/>
      <c r="W22" s="115"/>
      <c r="X22" s="115"/>
      <c r="Y22" s="150"/>
      <c r="Z22" s="152"/>
      <c r="AA22" s="151"/>
      <c r="AB22" s="152"/>
      <c r="AC22" s="151"/>
      <c r="AD22" s="153"/>
      <c r="AE22" s="154"/>
      <c r="AF22" s="113"/>
      <c r="AG22" s="156"/>
      <c r="AH22" s="157"/>
      <c r="AI22" s="157"/>
      <c r="AJ22" s="157"/>
      <c r="AK22" s="113"/>
      <c r="AL22" s="156"/>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row>
    <row r="23" spans="1:70" ht="78" x14ac:dyDescent="0.25">
      <c r="A23" s="260">
        <v>3</v>
      </c>
      <c r="B23" s="293" t="s">
        <v>361</v>
      </c>
      <c r="C23" s="245" t="s">
        <v>93</v>
      </c>
      <c r="D23" s="245" t="s">
        <v>249</v>
      </c>
      <c r="E23" s="245" t="s">
        <v>95</v>
      </c>
      <c r="F23" s="245" t="s">
        <v>340</v>
      </c>
      <c r="G23" s="248" t="s">
        <v>97</v>
      </c>
      <c r="H23" s="251">
        <v>3</v>
      </c>
      <c r="I23" s="242" t="str">
        <f>IF(H23&lt;=0,"",IF(H23&lt;=2,"Muy Baja",IF(H23&lt;=24,"Baja",IF(H23&lt;=500,"Media",IF(H23&lt;=5000,"Alta","Muy Alta")))))</f>
        <v>Baja</v>
      </c>
      <c r="J23" s="233">
        <f>IF(I23="","",IF(I23="Muy Baja",0.2,IF(I23="Baja",0.4,IF(I23="Media",0.6,IF(I23="Alta",0.8,IF(I23="Muy Alta",1,))))))</f>
        <v>0.4</v>
      </c>
      <c r="K23" s="239" t="s">
        <v>159</v>
      </c>
      <c r="L23" s="233" t="str">
        <f>IF(NOT(ISERROR(MATCH(K23,'[1]Tabla Impacto'!$B$225:$B$227,0))),'[1]Tabla Impacto'!$G$227&amp;"Por favor no seleccionar los criterios de impacto(Afectación Económica o presupuestal y Pérdida Reputacional)",K23)</f>
        <v xml:space="preserve">     El riesgo afecta la imagen de la entidad internamente, de conocimiento general, nivel interno, de junta dircetiva y accionistas y/o de provedores</v>
      </c>
      <c r="M23" s="242" t="str">
        <f>IF(OR(L23='[1]Tabla Impacto'!$C$15,L23='[1]Tabla Impacto'!$E$15),"Leve",IF(OR(L23='[1]Tabla Impacto'!$C$16,L23='[1]Tabla Impacto'!$E$16),"Menor",IF(OR(L23='[1]Tabla Impacto'!$C$17,L23='[1]Tabla Impacto'!$E$17),"Moderado",IF(OR(L23='[1]Tabla Impacto'!$C$18,L23='[1]Tabla Impacto'!$E$18),"Mayor",IF(OR(L23='[1]Tabla Impacto'!$C$19,L23='[1]Tabla Impacto'!$E$19),"Catastrófico","")))))</f>
        <v>Menor</v>
      </c>
      <c r="N23" s="233">
        <f t="shared" ref="N23" si="15">IF(M23="","",IF(M23="Leve",0.2,IF(M23="Menor",0.4,IF(M23="Moderado",0.6,IF(M23="Mayor",0.8,IF(M23="Catastrófico",1,))))))</f>
        <v>0.4</v>
      </c>
      <c r="O23" s="236" t="str">
        <f t="shared" ref="O23" si="16">IF(OR(AND(I23="Muy Baja",M23="Leve"),AND(I23="Muy Baja",M23="Menor"),AND(I23="Baja",M23="Leve")),"Bajo",IF(OR(AND(I23="Muy baja",M23="Moderado"),AND(I23="Baja",M23="Menor"),AND(I23="Baja",M23="Moderado"),AND(I23="Media",M23="Leve"),AND(I23="Media",M23="Menor"),AND(I23="Media",M23="Moderado"),AND(I23="Alta",M23="Leve"),AND(I23="Alta",M23="Menor")),"Moderado",IF(OR(AND(I23="Muy Baja",M23="Mayor"),AND(I23="Baja",M23="Mayor"),AND(I23="Media",M23="Mayor"),AND(I23="Alta",M23="Moderado"),AND(I23="Alta",M23="Mayor"),AND(I23="Muy Alta",M23="Leve"),AND(I23="Muy Alta",M23="Menor"),AND(I23="Muy Alta",M23="Moderado"),AND(I23="Muy Alta",M23="Mayor")),"Alto",IF(OR(AND(I23="Muy Baja",M23="Catastrófico"),AND(I23="Baja",M23="Catastrófico"),AND(I23="Media",M23="Catastrófico"),AND(I23="Alta",M23="Catastrófico"),AND(I23="Muy Alta",M23="Catastrófico")),"Extremo",""))))</f>
        <v>Moderado</v>
      </c>
      <c r="P23" s="155">
        <v>1</v>
      </c>
      <c r="Q23" s="158" t="s">
        <v>343</v>
      </c>
      <c r="R23" s="161" t="s">
        <v>110</v>
      </c>
      <c r="S23" s="162" t="s">
        <v>338</v>
      </c>
      <c r="T23" s="162" t="s">
        <v>101</v>
      </c>
      <c r="U23" s="163" t="str">
        <f t="shared" ref="U23" si="17">IF(AND(S23="Preventivo",T23="Automático"),"50%",IF(AND(S23="Preventivo",T23="Manual"),"40%",IF(AND(S23="Detectivo",T23="Automático"),"40%",IF(AND(S23="Detectivo",T23="Manual"),"30%",IF(AND(S23="Correctivo",T23="Automático"),"35%",IF(AND(S23="Correctivo",T23="Manual"),"25%",""))))))</f>
        <v>40%</v>
      </c>
      <c r="V23" s="162" t="s">
        <v>102</v>
      </c>
      <c r="W23" s="162" t="s">
        <v>103</v>
      </c>
      <c r="X23" s="162" t="s">
        <v>104</v>
      </c>
      <c r="Y23" s="144">
        <f>IFERROR(IF(AND(R58="Probabilidad",R23="Probabilidad"),(AA58-(+AA58*U23)),IF(R23="Probabilidad",(J58-(+J58*U23)),IF(R23="Impacto",AA58,""))),"")</f>
        <v>0</v>
      </c>
      <c r="Z23" s="164" t="str">
        <f t="shared" ref="Z23" si="18">IFERROR(IF(Y23="","",IF(Y23&lt;=0.2,"Muy Baja",IF(Y23&lt;=0.4,"Baja",IF(Y23&lt;=0.6,"Media",IF(Y23&lt;=0.8,"Alta","Muy Alta"))))),"")</f>
        <v>Muy Baja</v>
      </c>
      <c r="AA23" s="122">
        <f t="shared" ref="AA23" si="19">+Y23</f>
        <v>0</v>
      </c>
      <c r="AB23" s="164" t="str">
        <f t="shared" ref="AB23" si="20">IFERROR(IF(AC23="","",IF(AC23&lt;=0.2,"Leve",IF(AC23&lt;=0.4,"Menor",IF(AC23&lt;=0.6,"Moderado",IF(AC23&lt;=0.8,"Mayor","Catastrófico"))))),"")</f>
        <v>Leve</v>
      </c>
      <c r="AC23" s="122">
        <f>IFERROR(IF(AND(R58="Impacto",R23="Impacto"),(AC58-(+AC58*U23)),IF(R23="Impacto",(N58-(+N58*U23)),IF(R23="Probabilidad",AC58,""))),"")</f>
        <v>0</v>
      </c>
      <c r="AD23" s="165" t="str">
        <f t="shared" ref="AD23" si="2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Bajo</v>
      </c>
      <c r="AE23" s="119" t="s">
        <v>105</v>
      </c>
      <c r="AF23" s="145" t="s">
        <v>344</v>
      </c>
      <c r="AG23" s="145" t="s">
        <v>339</v>
      </c>
      <c r="AH23" s="112">
        <v>45320</v>
      </c>
      <c r="AI23" s="112">
        <v>45641</v>
      </c>
      <c r="AJ23" s="157"/>
      <c r="AK23" s="113"/>
      <c r="AL23" s="156"/>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row>
    <row r="24" spans="1:70" ht="18" customHeight="1" x14ac:dyDescent="0.25">
      <c r="A24" s="261"/>
      <c r="B24" s="294"/>
      <c r="C24" s="246"/>
      <c r="D24" s="246"/>
      <c r="E24" s="246"/>
      <c r="F24" s="246"/>
      <c r="G24" s="249"/>
      <c r="H24" s="252"/>
      <c r="I24" s="243"/>
      <c r="J24" s="234"/>
      <c r="K24" s="240"/>
      <c r="L24" s="234">
        <f ca="1">IF(NOT(ISERROR(MATCH(K24,_xlfn.ANCHORARRAY(F59),0))),J61&amp;"Por favor no seleccionar los criterios de impacto",K24)</f>
        <v>0</v>
      </c>
      <c r="M24" s="243"/>
      <c r="N24" s="234"/>
      <c r="O24" s="237"/>
      <c r="P24" s="155">
        <v>2</v>
      </c>
      <c r="Q24" s="158"/>
      <c r="R24" s="161"/>
      <c r="S24" s="162"/>
      <c r="T24" s="162"/>
      <c r="U24" s="163"/>
      <c r="V24" s="162"/>
      <c r="W24" s="162"/>
      <c r="X24" s="162"/>
      <c r="Y24" s="144"/>
      <c r="Z24" s="164"/>
      <c r="AA24" s="122"/>
      <c r="AB24" s="164"/>
      <c r="AC24" s="122"/>
      <c r="AD24" s="165"/>
      <c r="AE24" s="119"/>
      <c r="AF24" s="113"/>
      <c r="AG24" s="156"/>
      <c r="AH24" s="157"/>
      <c r="AI24" s="157"/>
      <c r="AJ24" s="157"/>
      <c r="AK24" s="113"/>
      <c r="AL24" s="156"/>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row>
    <row r="25" spans="1:70" ht="18" customHeight="1" x14ac:dyDescent="0.25">
      <c r="A25" s="261"/>
      <c r="B25" s="294"/>
      <c r="C25" s="246"/>
      <c r="D25" s="246"/>
      <c r="E25" s="246"/>
      <c r="F25" s="246"/>
      <c r="G25" s="249"/>
      <c r="H25" s="252"/>
      <c r="I25" s="243"/>
      <c r="J25" s="234"/>
      <c r="K25" s="240"/>
      <c r="L25" s="234">
        <f ca="1">IF(NOT(ISERROR(MATCH(K25,_xlfn.ANCHORARRAY(F60),0))),J62&amp;"Por favor no seleccionar los criterios de impacto",K25)</f>
        <v>0</v>
      </c>
      <c r="M25" s="243"/>
      <c r="N25" s="234"/>
      <c r="O25" s="237"/>
      <c r="P25" s="155">
        <v>3</v>
      </c>
      <c r="Q25" s="147"/>
      <c r="R25" s="148"/>
      <c r="S25" s="115"/>
      <c r="T25" s="115"/>
      <c r="U25" s="149"/>
      <c r="V25" s="115"/>
      <c r="W25" s="115"/>
      <c r="X25" s="115"/>
      <c r="Y25" s="150"/>
      <c r="Z25" s="152"/>
      <c r="AA25" s="151"/>
      <c r="AB25" s="152"/>
      <c r="AC25" s="151"/>
      <c r="AD25" s="153"/>
      <c r="AE25" s="154"/>
      <c r="AF25" s="113"/>
      <c r="AG25" s="156"/>
      <c r="AH25" s="157"/>
      <c r="AI25" s="157"/>
      <c r="AJ25" s="157"/>
      <c r="AK25" s="113"/>
      <c r="AL25" s="156"/>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row>
    <row r="26" spans="1:70" ht="18" customHeight="1" x14ac:dyDescent="0.25">
      <c r="A26" s="261"/>
      <c r="B26" s="294"/>
      <c r="C26" s="246"/>
      <c r="D26" s="246"/>
      <c r="E26" s="246"/>
      <c r="F26" s="246"/>
      <c r="G26" s="249"/>
      <c r="H26" s="252"/>
      <c r="I26" s="243"/>
      <c r="J26" s="234"/>
      <c r="K26" s="240"/>
      <c r="L26" s="234">
        <f ca="1">IF(NOT(ISERROR(MATCH(K26,_xlfn.ANCHORARRAY(F61),0))),J63&amp;"Por favor no seleccionar los criterios de impacto",K26)</f>
        <v>0</v>
      </c>
      <c r="M26" s="243"/>
      <c r="N26" s="234"/>
      <c r="O26" s="237"/>
      <c r="P26" s="155">
        <v>4</v>
      </c>
      <c r="Q26" s="158"/>
      <c r="R26" s="148"/>
      <c r="S26" s="115"/>
      <c r="T26" s="115"/>
      <c r="U26" s="149"/>
      <c r="V26" s="115"/>
      <c r="W26" s="115"/>
      <c r="X26" s="115"/>
      <c r="Y26" s="150"/>
      <c r="Z26" s="152"/>
      <c r="AA26" s="151"/>
      <c r="AB26" s="152"/>
      <c r="AC26" s="151"/>
      <c r="AD26" s="153"/>
      <c r="AE26" s="154"/>
      <c r="AF26" s="113"/>
      <c r="AG26" s="156"/>
      <c r="AH26" s="157"/>
      <c r="AI26" s="157"/>
      <c r="AJ26" s="157"/>
      <c r="AK26" s="113"/>
      <c r="AL26" s="156"/>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row>
    <row r="27" spans="1:70" ht="18" customHeight="1" x14ac:dyDescent="0.25">
      <c r="A27" s="261"/>
      <c r="B27" s="294"/>
      <c r="C27" s="246"/>
      <c r="D27" s="246"/>
      <c r="E27" s="246"/>
      <c r="F27" s="246"/>
      <c r="G27" s="249"/>
      <c r="H27" s="252"/>
      <c r="I27" s="243"/>
      <c r="J27" s="234"/>
      <c r="K27" s="240"/>
      <c r="L27" s="234">
        <f ca="1">IF(NOT(ISERROR(MATCH(K27,_xlfn.ANCHORARRAY(F62),0))),J64&amp;"Por favor no seleccionar los criterios de impacto",K27)</f>
        <v>0</v>
      </c>
      <c r="M27" s="243"/>
      <c r="N27" s="234"/>
      <c r="O27" s="237"/>
      <c r="P27" s="155">
        <v>5</v>
      </c>
      <c r="Q27" s="158"/>
      <c r="R27" s="148"/>
      <c r="S27" s="115"/>
      <c r="T27" s="115"/>
      <c r="U27" s="149"/>
      <c r="V27" s="115"/>
      <c r="W27" s="115"/>
      <c r="X27" s="115"/>
      <c r="Y27" s="150"/>
      <c r="Z27" s="152"/>
      <c r="AA27" s="151"/>
      <c r="AB27" s="152"/>
      <c r="AC27" s="151"/>
      <c r="AD27" s="153"/>
      <c r="AE27" s="154"/>
      <c r="AF27" s="113"/>
      <c r="AG27" s="156"/>
      <c r="AH27" s="157"/>
      <c r="AI27" s="157"/>
      <c r="AJ27" s="157"/>
      <c r="AK27" s="113"/>
      <c r="AL27" s="156"/>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row>
    <row r="28" spans="1:70" ht="71.25" customHeight="1" x14ac:dyDescent="0.25">
      <c r="A28" s="262"/>
      <c r="B28" s="295"/>
      <c r="C28" s="247"/>
      <c r="D28" s="247"/>
      <c r="E28" s="247"/>
      <c r="F28" s="247"/>
      <c r="G28" s="250"/>
      <c r="H28" s="253"/>
      <c r="I28" s="244"/>
      <c r="J28" s="235"/>
      <c r="K28" s="241"/>
      <c r="L28" s="235">
        <f ca="1">IF(NOT(ISERROR(MATCH(K28,_xlfn.ANCHORARRAY(F63),0))),J65&amp;"Por favor no seleccionar los criterios de impacto",K28)</f>
        <v>0</v>
      </c>
      <c r="M28" s="244"/>
      <c r="N28" s="235"/>
      <c r="O28" s="238"/>
      <c r="P28" s="155">
        <v>6</v>
      </c>
      <c r="Q28" s="158"/>
      <c r="R28" s="148"/>
      <c r="S28" s="115"/>
      <c r="T28" s="115"/>
      <c r="U28" s="149"/>
      <c r="V28" s="115"/>
      <c r="W28" s="115"/>
      <c r="X28" s="115"/>
      <c r="Y28" s="150"/>
      <c r="Z28" s="152"/>
      <c r="AA28" s="151"/>
      <c r="AB28" s="152"/>
      <c r="AC28" s="151"/>
      <c r="AD28" s="153"/>
      <c r="AE28" s="154"/>
      <c r="AF28" s="113"/>
      <c r="AG28" s="156"/>
      <c r="AH28" s="157"/>
      <c r="AI28" s="157"/>
      <c r="AJ28" s="157"/>
      <c r="AK28" s="113"/>
      <c r="AL28" s="156"/>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row>
    <row r="29" spans="1:70" ht="153" customHeight="1" x14ac:dyDescent="0.25">
      <c r="A29" s="260">
        <v>4</v>
      </c>
      <c r="B29" s="293" t="s">
        <v>349</v>
      </c>
      <c r="C29" s="254" t="s">
        <v>93</v>
      </c>
      <c r="D29" s="257" t="s">
        <v>107</v>
      </c>
      <c r="E29" s="254" t="s">
        <v>351</v>
      </c>
      <c r="F29" s="257" t="s">
        <v>350</v>
      </c>
      <c r="G29" s="254" t="s">
        <v>97</v>
      </c>
      <c r="H29" s="302">
        <v>2</v>
      </c>
      <c r="I29" s="242" t="str">
        <f>IF(H29&lt;=0,"",IF(H29&lt;=2,"Muy Baja",IF(H29&lt;=24,"Baja",IF(H29&lt;=500,"Media",IF(H29&lt;=5000,"Alta","Muy Alta")))))</f>
        <v>Muy Baja</v>
      </c>
      <c r="J29" s="233">
        <f>IF(I29="","",IF(I29="Muy Baja",0.2,IF(I29="Baja",0.4,IF(I29="Media",0.6,IF(I29="Alta",0.8,IF(I29="Muy Alta",1,))))))</f>
        <v>0.2</v>
      </c>
      <c r="K29" s="239" t="s">
        <v>162</v>
      </c>
      <c r="L29" s="233" t="str">
        <f>IF(NOT(ISERROR(MATCH(K29,'Tabla Impacto'!$B$225:$B$227,0))),'Tabla Impacto'!$G$227&amp;"Por favor no seleccionar los criterios de impacto(Afectación Económica o presupuestal y Pérdida Reputacional)",K29)</f>
        <v xml:space="preserve">     El riesgo afecta la imagen de de la entidad con efecto publicitario sostenido a nivel de sector administrativo, nivel departamental o municipal</v>
      </c>
      <c r="M29" s="242" t="str">
        <f>IF(OR(L29='Tabla Impacto'!$C$15,L29='Tabla Impacto'!$E$15),"Leve",IF(OR(L29='Tabla Impacto'!$C$16,L29='Tabla Impacto'!$E$16),"Menor",IF(OR(L29='Tabla Impacto'!$C$17,L29='Tabla Impacto'!$E$17),"Moderado",IF(OR(L29='Tabla Impacto'!$C$18,L29='Tabla Impacto'!$E$18),"Mayor",IF(OR(L29='Tabla Impacto'!$C$19,L29='Tabla Impacto'!$E$19),"Catastrófico","")))))</f>
        <v>Mayor</v>
      </c>
      <c r="N29" s="233">
        <f>IF(M29="","",IF(M29="Leve",0.2,IF(M29="Menor",0.4,IF(M29="Moderado",0.6,IF(M29="Mayor",0.8,IF(M29="Catastrófico",1,))))))</f>
        <v>0.8</v>
      </c>
      <c r="O29" s="236" t="str">
        <f>IF(OR(AND(I29="Muy Baja",M29="Leve"),AND(I29="Muy Baja",M29="Menor"),AND(I29="Baja",M29="Leve")),"Bajo",IF(OR(AND(I29="Muy baja",M29="Moderado"),AND(I29="Baja",M29="Menor"),AND(I29="Baja",M29="Moderado"),AND(I29="Media",M29="Leve"),AND(I29="Media",M29="Menor"),AND(I29="Media",M29="Moderado"),AND(I29="Alta",M29="Leve"),AND(I29="Alta",M29="Menor")),"Moderado",IF(OR(AND(I29="Muy Baja",M29="Mayor"),AND(I29="Baja",M29="Mayor"),AND(I29="Media",M29="Mayor"),AND(I29="Alta",M29="Moderado"),AND(I29="Alta",M29="Mayor"),AND(I29="Muy Alta",M29="Leve"),AND(I29="Muy Alta",M29="Menor"),AND(I29="Muy Alta",M29="Moderado"),AND(I29="Muy Alta",M29="Mayor")),"Alto",IF(OR(AND(I29="Muy Baja",M29="Catastrófico"),AND(I29="Baja",M29="Catastrófico"),AND(I29="Media",M29="Catastrófico"),AND(I29="Alta",M29="Catastrófico"),AND(I29="Muy Alta",M29="Catastrófico")),"Extremo",""))))</f>
        <v>Alto</v>
      </c>
      <c r="P29" s="155">
        <v>1</v>
      </c>
      <c r="Q29" s="158" t="s">
        <v>352</v>
      </c>
      <c r="R29" s="143" t="str">
        <f>IF(OR(S29="Preventivo",S29="Detectivo"),"Probabilidad",IF(S29="Correctivo","Impacto",""))</f>
        <v>Probabilidad</v>
      </c>
      <c r="S29" s="119" t="s">
        <v>100</v>
      </c>
      <c r="T29" s="119" t="s">
        <v>101</v>
      </c>
      <c r="U29" s="122" t="str">
        <f>IF(AND(S29="Preventivo",T29="Automático"),"50%",IF(AND(S29="Preventivo",T29="Manual"),"40%",IF(AND(S29="Detectivo",T29="Automático"),"40%",IF(AND(S29="Detectivo",T29="Manual"),"30%",IF(AND(S29="Correctivo",T29="Automático"),"35%",IF(AND(S29="Correctivo",T29="Manual"),"25%",""))))))</f>
        <v>40%</v>
      </c>
      <c r="V29" s="119" t="s">
        <v>102</v>
      </c>
      <c r="W29" s="119" t="s">
        <v>103</v>
      </c>
      <c r="X29" s="119" t="s">
        <v>104</v>
      </c>
      <c r="Y29" s="144">
        <f>IFERROR(IF(R29="Probabilidad",(J29-(+J29*U29)),IF(R29="Impacto",J29,"")),"")</f>
        <v>0.12</v>
      </c>
      <c r="Z29" s="118" t="str">
        <f>IFERROR(IF(Y29="","",IF(Y29&lt;=0.2,"Muy Baja",IF(Y29&lt;=0.4,"Baja",IF(Y29&lt;=0.6,"Media",IF(Y29&lt;=0.8,"Alta","Muy Alta"))))),"")</f>
        <v>Muy Baja</v>
      </c>
      <c r="AA29" s="122">
        <f>+Y29</f>
        <v>0.12</v>
      </c>
      <c r="AB29" s="118" t="str">
        <f>IFERROR(IF(AC29="","",IF(AC29&lt;=0.2,"Leve",IF(AC29&lt;=0.4,"Menor",IF(AC29&lt;=0.6,"Moderado",IF(AC29&lt;=0.8,"Mayor","Catastrófico"))))),"")</f>
        <v>Mayor</v>
      </c>
      <c r="AC29" s="122">
        <f>IFERROR(IF(R29="Impacto",(N29-(+N29*U29)),IF(R29="Probabilidad",N29,"")),"")</f>
        <v>0.8</v>
      </c>
      <c r="AD29" s="127" t="str">
        <f>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Alto</v>
      </c>
      <c r="AE29" s="119" t="s">
        <v>105</v>
      </c>
      <c r="AF29" s="160" t="s">
        <v>353</v>
      </c>
      <c r="AG29" s="145" t="s">
        <v>108</v>
      </c>
      <c r="AH29" s="112">
        <v>45320</v>
      </c>
      <c r="AI29" s="112">
        <v>45641</v>
      </c>
      <c r="AJ29" s="157"/>
      <c r="AK29" s="113"/>
      <c r="AL29" s="156"/>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row>
    <row r="30" spans="1:70" ht="18" customHeight="1" x14ac:dyDescent="0.25">
      <c r="A30" s="261"/>
      <c r="B30" s="294"/>
      <c r="C30" s="255"/>
      <c r="D30" s="258"/>
      <c r="E30" s="255"/>
      <c r="F30" s="258"/>
      <c r="G30" s="255"/>
      <c r="H30" s="303"/>
      <c r="I30" s="243"/>
      <c r="J30" s="234"/>
      <c r="K30" s="240"/>
      <c r="L30" s="234">
        <f ca="1">IF(NOT(ISERROR(MATCH(K30,_xlfn.ANCHORARRAY(F47),0))),J49&amp;"Por favor no seleccionar los criterios de impacto",K30)</f>
        <v>0</v>
      </c>
      <c r="M30" s="243"/>
      <c r="N30" s="234"/>
      <c r="O30" s="237"/>
      <c r="P30" s="155">
        <v>2</v>
      </c>
      <c r="Q30" s="158"/>
      <c r="R30" s="161" t="str">
        <f>IF(OR(S30="Preventivo",S30="Detectivo"),"Probabilidad",IF(S30="Correctivo","Impacto",""))</f>
        <v/>
      </c>
      <c r="S30" s="162"/>
      <c r="T30" s="162"/>
      <c r="U30" s="163" t="str">
        <f t="shared" ref="U30:U34" si="22">IF(AND(S30="Preventivo",T30="Automático"),"50%",IF(AND(S30="Preventivo",T30="Manual"),"40%",IF(AND(S30="Detectivo",T30="Automático"),"40%",IF(AND(S30="Detectivo",T30="Manual"),"30%",IF(AND(S30="Correctivo",T30="Automático"),"35%",IF(AND(S30="Correctivo",T30="Manual"),"25%",""))))))</f>
        <v/>
      </c>
      <c r="V30" s="162"/>
      <c r="W30" s="162"/>
      <c r="X30" s="162"/>
      <c r="Y30" s="144" t="str">
        <f>IFERROR(IF(AND(R29="Probabilidad",R30="Probabilidad"),(AA29-(+AA29*U30)),IF(R30="Probabilidad",(J29-(+J29*U30)),IF(R30="Impacto",AA29,""))),"")</f>
        <v/>
      </c>
      <c r="Z30" s="164" t="str">
        <f t="shared" ref="Z30:Z34" si="23">IFERROR(IF(Y30="","",IF(Y30&lt;=0.2,"Muy Baja",IF(Y30&lt;=0.4,"Baja",IF(Y30&lt;=0.6,"Media",IF(Y30&lt;=0.8,"Alta","Muy Alta"))))),"")</f>
        <v/>
      </c>
      <c r="AA30" s="122" t="str">
        <f t="shared" ref="AA30:AA34" si="24">+Y30</f>
        <v/>
      </c>
      <c r="AB30" s="164" t="str">
        <f t="shared" si="5"/>
        <v/>
      </c>
      <c r="AC30" s="122" t="str">
        <f>IFERROR(IF(AND(R29="Impacto",R30="Impacto"),(AC29-(+AC29*U30)),IF(R30="Impacto",(N29-(+N29*U30)),IF(R30="Probabilidad",AC29,""))),"")</f>
        <v/>
      </c>
      <c r="AD30" s="165" t="str">
        <f t="shared" ref="AD30:AD31" si="25">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119"/>
      <c r="AF30" s="145"/>
      <c r="AG30" s="145"/>
      <c r="AH30" s="112"/>
      <c r="AI30" s="112"/>
      <c r="AJ30" s="157"/>
      <c r="AK30" s="113"/>
      <c r="AL30" s="156"/>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row>
    <row r="31" spans="1:70" ht="18" customHeight="1" x14ac:dyDescent="0.25">
      <c r="A31" s="261"/>
      <c r="B31" s="294"/>
      <c r="C31" s="255"/>
      <c r="D31" s="258"/>
      <c r="E31" s="255"/>
      <c r="F31" s="258"/>
      <c r="G31" s="255"/>
      <c r="H31" s="303"/>
      <c r="I31" s="243"/>
      <c r="J31" s="234"/>
      <c r="K31" s="240"/>
      <c r="L31" s="234">
        <f ca="1">IF(NOT(ISERROR(MATCH(K31,_xlfn.ANCHORARRAY(F48),0))),J50&amp;"Por favor no seleccionar los criterios de impacto",K31)</f>
        <v>0</v>
      </c>
      <c r="M31" s="243"/>
      <c r="N31" s="234"/>
      <c r="O31" s="237"/>
      <c r="P31" s="155">
        <v>3</v>
      </c>
      <c r="Q31" s="147"/>
      <c r="R31" s="161" t="str">
        <f>IF(OR(S31="Preventivo",S31="Detectivo"),"Probabilidad",IF(S31="Correctivo","Impacto",""))</f>
        <v/>
      </c>
      <c r="S31" s="162"/>
      <c r="T31" s="162"/>
      <c r="U31" s="163" t="str">
        <f t="shared" si="22"/>
        <v/>
      </c>
      <c r="V31" s="162"/>
      <c r="W31" s="162"/>
      <c r="X31" s="162"/>
      <c r="Y31" s="144" t="str">
        <f>IFERROR(IF(AND(R30="Probabilidad",R31="Probabilidad"),(AA30-(+AA30*U31)),IF(AND(R30="Impacto",R31="Probabilidad"),(AA29-(+AA29*U31)),IF(R31="Impacto",AA30,""))),"")</f>
        <v/>
      </c>
      <c r="Z31" s="164" t="str">
        <f t="shared" si="23"/>
        <v/>
      </c>
      <c r="AA31" s="122" t="str">
        <f t="shared" si="24"/>
        <v/>
      </c>
      <c r="AB31" s="164" t="str">
        <f t="shared" si="5"/>
        <v/>
      </c>
      <c r="AC31" s="122" t="str">
        <f>IFERROR(IF(AND(R30="Impacto",R31="Impacto"),(AC30-(+AC30*U31)),IF(AND(R30="Probabilidad",R31="Impacto"),(AC29-(+AC29*U31)),IF(R31="Probabilidad",AC30,""))),"")</f>
        <v/>
      </c>
      <c r="AD31" s="165" t="str">
        <f t="shared" si="25"/>
        <v/>
      </c>
      <c r="AE31" s="119"/>
      <c r="AF31" s="145"/>
      <c r="AG31" s="114"/>
      <c r="AH31" s="112"/>
      <c r="AI31" s="112"/>
      <c r="AJ31" s="157"/>
      <c r="AK31" s="113"/>
      <c r="AL31" s="156"/>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row>
    <row r="32" spans="1:70" ht="18" customHeight="1" x14ac:dyDescent="0.25">
      <c r="A32" s="261"/>
      <c r="B32" s="294"/>
      <c r="C32" s="255"/>
      <c r="D32" s="258"/>
      <c r="E32" s="255"/>
      <c r="F32" s="258"/>
      <c r="G32" s="255"/>
      <c r="H32" s="303"/>
      <c r="I32" s="243"/>
      <c r="J32" s="234"/>
      <c r="K32" s="240"/>
      <c r="L32" s="234">
        <f ca="1">IF(NOT(ISERROR(MATCH(K32,_xlfn.ANCHORARRAY(F49),0))),J51&amp;"Por favor no seleccionar los criterios de impacto",K32)</f>
        <v>0</v>
      </c>
      <c r="M32" s="243"/>
      <c r="N32" s="234"/>
      <c r="O32" s="237"/>
      <c r="P32" s="155">
        <v>4</v>
      </c>
      <c r="Q32" s="158"/>
      <c r="R32" s="148" t="str">
        <f t="shared" ref="R32:R34" si="26">IF(OR(S32="Preventivo",S32="Detectivo"),"Probabilidad",IF(S32="Correctivo","Impacto",""))</f>
        <v/>
      </c>
      <c r="S32" s="115"/>
      <c r="T32" s="115"/>
      <c r="U32" s="149" t="str">
        <f t="shared" si="22"/>
        <v/>
      </c>
      <c r="V32" s="115"/>
      <c r="W32" s="115"/>
      <c r="X32" s="115"/>
      <c r="Y32" s="150" t="str">
        <f t="shared" ref="Y32:Y34" si="27">IFERROR(IF(AND(R31="Probabilidad",R32="Probabilidad"),(AA31-(+AA31*U32)),IF(AND(R31="Impacto",R32="Probabilidad"),(AA30-(+AA30*U32)),IF(R32="Impacto",AA31,""))),"")</f>
        <v/>
      </c>
      <c r="Z32" s="152" t="str">
        <f t="shared" si="23"/>
        <v/>
      </c>
      <c r="AA32" s="151" t="str">
        <f t="shared" si="24"/>
        <v/>
      </c>
      <c r="AB32" s="152" t="str">
        <f t="shared" si="5"/>
        <v/>
      </c>
      <c r="AC32" s="151" t="str">
        <f t="shared" ref="AC32:AC34" si="28">IFERROR(IF(AND(R31="Impacto",R32="Impacto"),(AC31-(+AC31*U32)),IF(AND(R31="Probabilidad",R32="Impacto"),(AC30-(+AC30*U32)),IF(R32="Probabilidad",AC31,""))),"")</f>
        <v/>
      </c>
      <c r="AD32" s="153" t="str">
        <f>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54"/>
      <c r="AF32" s="113"/>
      <c r="AG32" s="156"/>
      <c r="AH32" s="157"/>
      <c r="AI32" s="157"/>
      <c r="AJ32" s="157"/>
      <c r="AK32" s="113"/>
      <c r="AL32" s="156"/>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1:70" ht="18" customHeight="1" x14ac:dyDescent="0.25">
      <c r="A33" s="261"/>
      <c r="B33" s="294"/>
      <c r="C33" s="255"/>
      <c r="D33" s="258"/>
      <c r="E33" s="255"/>
      <c r="F33" s="258"/>
      <c r="G33" s="255"/>
      <c r="H33" s="303"/>
      <c r="I33" s="243"/>
      <c r="J33" s="234"/>
      <c r="K33" s="240"/>
      <c r="L33" s="234">
        <f ca="1">IF(NOT(ISERROR(MATCH(K33,_xlfn.ANCHORARRAY(F50),0))),J52&amp;"Por favor no seleccionar los criterios de impacto",K33)</f>
        <v>0</v>
      </c>
      <c r="M33" s="243"/>
      <c r="N33" s="234"/>
      <c r="O33" s="237"/>
      <c r="P33" s="155">
        <v>5</v>
      </c>
      <c r="Q33" s="158"/>
      <c r="R33" s="148" t="str">
        <f t="shared" si="26"/>
        <v/>
      </c>
      <c r="S33" s="115"/>
      <c r="T33" s="115"/>
      <c r="U33" s="149" t="str">
        <f t="shared" si="22"/>
        <v/>
      </c>
      <c r="V33" s="115"/>
      <c r="W33" s="115"/>
      <c r="X33" s="115"/>
      <c r="Y33" s="150" t="str">
        <f t="shared" si="27"/>
        <v/>
      </c>
      <c r="Z33" s="152" t="str">
        <f t="shared" si="23"/>
        <v/>
      </c>
      <c r="AA33" s="151" t="str">
        <f t="shared" si="24"/>
        <v/>
      </c>
      <c r="AB33" s="152" t="str">
        <f t="shared" si="5"/>
        <v/>
      </c>
      <c r="AC33" s="151" t="str">
        <f t="shared" si="28"/>
        <v/>
      </c>
      <c r="AD33" s="153" t="str">
        <f t="shared" ref="AD33:AD34" si="29">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154"/>
      <c r="AF33" s="113"/>
      <c r="AG33" s="156"/>
      <c r="AH33" s="157"/>
      <c r="AI33" s="157"/>
      <c r="AJ33" s="157"/>
      <c r="AK33" s="113"/>
      <c r="AL33" s="156"/>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1:70" ht="18" customHeight="1" x14ac:dyDescent="0.25">
      <c r="A34" s="262"/>
      <c r="B34" s="295"/>
      <c r="C34" s="256"/>
      <c r="D34" s="259"/>
      <c r="E34" s="256"/>
      <c r="F34" s="259"/>
      <c r="G34" s="256"/>
      <c r="H34" s="304"/>
      <c r="I34" s="244"/>
      <c r="J34" s="235"/>
      <c r="K34" s="241"/>
      <c r="L34" s="235">
        <f ca="1">IF(NOT(ISERROR(MATCH(K34,_xlfn.ANCHORARRAY(F51),0))),#REF!&amp;"Por favor no seleccionar los criterios de impacto",K34)</f>
        <v>0</v>
      </c>
      <c r="M34" s="244"/>
      <c r="N34" s="235"/>
      <c r="O34" s="238"/>
      <c r="P34" s="155">
        <v>6</v>
      </c>
      <c r="Q34" s="158"/>
      <c r="R34" s="148" t="str">
        <f t="shared" si="26"/>
        <v/>
      </c>
      <c r="S34" s="115"/>
      <c r="T34" s="115"/>
      <c r="U34" s="149" t="str">
        <f t="shared" si="22"/>
        <v/>
      </c>
      <c r="V34" s="115"/>
      <c r="W34" s="115"/>
      <c r="X34" s="115"/>
      <c r="Y34" s="150" t="str">
        <f t="shared" si="27"/>
        <v/>
      </c>
      <c r="Z34" s="152" t="str">
        <f t="shared" si="23"/>
        <v/>
      </c>
      <c r="AA34" s="151" t="str">
        <f t="shared" si="24"/>
        <v/>
      </c>
      <c r="AB34" s="152" t="str">
        <f t="shared" si="5"/>
        <v/>
      </c>
      <c r="AC34" s="151" t="str">
        <f t="shared" si="28"/>
        <v/>
      </c>
      <c r="AD34" s="153" t="str">
        <f t="shared" si="29"/>
        <v/>
      </c>
      <c r="AE34" s="154"/>
      <c r="AF34" s="113"/>
      <c r="AG34" s="156"/>
      <c r="AH34" s="157"/>
      <c r="AI34" s="157"/>
      <c r="AJ34" s="157"/>
      <c r="AK34" s="113"/>
      <c r="AL34" s="156"/>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row>
    <row r="35" spans="1:70" ht="147" customHeight="1" x14ac:dyDescent="0.25">
      <c r="A35" s="260">
        <v>5</v>
      </c>
      <c r="B35" s="293" t="s">
        <v>332</v>
      </c>
      <c r="C35" s="254" t="s">
        <v>93</v>
      </c>
      <c r="D35" s="254" t="s">
        <v>329</v>
      </c>
      <c r="E35" s="254" t="s">
        <v>330</v>
      </c>
      <c r="F35" s="257" t="s">
        <v>331</v>
      </c>
      <c r="G35" s="254" t="s">
        <v>313</v>
      </c>
      <c r="H35" s="251">
        <v>2</v>
      </c>
      <c r="I35" s="242" t="str">
        <f>IF(H35&lt;=0,"",IF(H35&lt;=2,"Muy Baja",IF(H35&lt;=24,"Baja",IF(H35&lt;=500,"Media",IF(H35&lt;=5000,"Alta","Muy Alta")))))</f>
        <v>Muy Baja</v>
      </c>
      <c r="J35" s="233">
        <f>IF(I35="","",IF(I35="Muy Baja",0.2,IF(I35="Baja",0.4,IF(I35="Media",0.6,IF(I35="Alta",0.8,IF(I35="Muy Alta",1,))))))</f>
        <v>0.2</v>
      </c>
      <c r="K35" s="239" t="s">
        <v>156</v>
      </c>
      <c r="L35" s="233" t="str">
        <f>IF(NOT(ISERROR(MATCH(K35,'[2]Tabla Impacto'!$B$225:$B$227,0))),'[2]Tabla Impacto'!$G$227&amp;"Por favor no seleccionar los criterios de impacto(Afectación Económica o presupuestal y Pérdida Reputacional)",K35)</f>
        <v xml:space="preserve">     El riesgo afecta la imagen de alguna área de la organización</v>
      </c>
      <c r="M35" s="242" t="str">
        <f>IF(OR(L35='[2]Tabla Impacto'!$C$15,L35='[2]Tabla Impacto'!$E$15),"Leve",IF(OR(L35='[2]Tabla Impacto'!$C$16,L35='[2]Tabla Impacto'!$E$16),"Menor",IF(OR(L35='[2]Tabla Impacto'!$C$17,L35='[2]Tabla Impacto'!$E$17),"Moderado",IF(OR(L35='[2]Tabla Impacto'!$C$18,L35='[2]Tabla Impacto'!$E$18),"Mayor",IF(OR(L35='[2]Tabla Impacto'!$C$19,L35='[2]Tabla Impacto'!$E$19),"Catastrófico","")))))</f>
        <v>Leve</v>
      </c>
      <c r="N35" s="233">
        <f>IF(M35="","",IF(M35="Leve",0.2,IF(M35="Menor",0.4,IF(M35="Moderado",0.6,IF(M35="Mayor",0.8,IF(M35="Catastrófico",1,))))))</f>
        <v>0.2</v>
      </c>
      <c r="O35" s="236" t="str">
        <f>IF(OR(AND(I35="Muy Baja",M35="Leve"),AND(I35="Muy Baja",M35="Menor"),AND(I35="Baja",M35="Leve")),"Bajo",IF(OR(AND(I35="Muy baja",M35="Moderado"),AND(I35="Baja",M35="Menor"),AND(I35="Baja",M35="Moderado"),AND(I35="Media",M35="Leve"),AND(I35="Media",M35="Menor"),AND(I35="Media",M35="Moderado"),AND(I35="Alta",M35="Leve"),AND(I35="Alta",M35="Menor")),"Moderado",IF(OR(AND(I35="Muy Baja",M35="Mayor"),AND(I35="Baja",M35="Mayor"),AND(I35="Media",M35="Mayor"),AND(I35="Alta",M35="Moderado"),AND(I35="Alta",M35="Mayor"),AND(I35="Muy Alta",M35="Leve"),AND(I35="Muy Alta",M35="Menor"),AND(I35="Muy Alta",M35="Moderado"),AND(I35="Muy Alta",M35="Mayor")),"Alto",IF(OR(AND(I35="Muy Baja",M35="Catastrófico"),AND(I35="Baja",M35="Catastrófico"),AND(I35="Media",M35="Catastrófico"),AND(I35="Alta",M35="Catastrófico"),AND(I35="Muy Alta",M35="Catastrófico")),"Extremo",""))))</f>
        <v>Bajo</v>
      </c>
      <c r="P35" s="141">
        <v>1</v>
      </c>
      <c r="Q35" s="142" t="s">
        <v>371</v>
      </c>
      <c r="R35" s="166" t="str">
        <f>IF(OR(S35="Preventivo",S35="Detectivo"),"Probabilidad",IF(S35="Correctivo","Impacto",""))</f>
        <v>Probabilidad</v>
      </c>
      <c r="S35" s="120" t="s">
        <v>100</v>
      </c>
      <c r="T35" s="120" t="s">
        <v>101</v>
      </c>
      <c r="U35" s="123" t="str">
        <f>IF(AND(S35="Preventivo",T35="Automático"),"50%",IF(AND(S35="Preventivo",T35="Manual"),"40%",IF(AND(S35="Detectivo",T35="Automático"),"40%",IF(AND(S35="Detectivo",T35="Manual"),"30%",IF(AND(S35="Correctivo",T35="Automático"),"35%",IF(AND(S35="Correctivo",T35="Manual"),"25%",""))))))</f>
        <v>40%</v>
      </c>
      <c r="V35" s="120" t="s">
        <v>102</v>
      </c>
      <c r="W35" s="120" t="s">
        <v>103</v>
      </c>
      <c r="X35" s="120" t="s">
        <v>104</v>
      </c>
      <c r="Y35" s="144">
        <f>IFERROR(IF(R35="Probabilidad",(J35-(+J35*U35)),IF(R35="Impacto",J35,"")),"")</f>
        <v>0.12</v>
      </c>
      <c r="Z35" s="125" t="str">
        <f>IFERROR(IF(Y35="","",IF(Y35&lt;=0.2,"Muy Baja",IF(Y35&lt;=0.4,"Baja",IF(Y35&lt;=0.6,"Media",IF(Y35&lt;=0.8,"Alta","Muy Alta"))))),"")</f>
        <v>Muy Baja</v>
      </c>
      <c r="AA35" s="123">
        <f>+Y35</f>
        <v>0.12</v>
      </c>
      <c r="AB35" s="125" t="str">
        <f t="shared" si="5"/>
        <v>Leve</v>
      </c>
      <c r="AC35" s="123">
        <f>IFERROR(IF(R35="Impacto",(N35-(+N35*U35)),IF(R35="Probabilidad",N35,"")),"")</f>
        <v>0.2</v>
      </c>
      <c r="AD35" s="128" t="str">
        <f>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Bajo</v>
      </c>
      <c r="AE35" s="120" t="s">
        <v>105</v>
      </c>
      <c r="AF35" s="145" t="s">
        <v>372</v>
      </c>
      <c r="AG35" s="145" t="s">
        <v>355</v>
      </c>
      <c r="AH35" s="112">
        <v>45320</v>
      </c>
      <c r="AI35" s="112">
        <v>45641</v>
      </c>
      <c r="AJ35" s="112"/>
      <c r="AK35" s="113"/>
      <c r="AL35" s="11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row>
    <row r="36" spans="1:70" ht="128.25" customHeight="1" x14ac:dyDescent="0.25">
      <c r="A36" s="261"/>
      <c r="B36" s="294"/>
      <c r="C36" s="255"/>
      <c r="D36" s="255"/>
      <c r="E36" s="255"/>
      <c r="F36" s="258"/>
      <c r="G36" s="255"/>
      <c r="H36" s="252"/>
      <c r="I36" s="243"/>
      <c r="J36" s="234"/>
      <c r="K36" s="240"/>
      <c r="L36" s="234">
        <f ca="1">IF(NOT(ISERROR(MATCH(K36,_xlfn.ANCHORARRAY(F53),0))),J55&amp;"Por favor no seleccionar los criterios de impacto",K36)</f>
        <v>0</v>
      </c>
      <c r="M36" s="243"/>
      <c r="N36" s="234"/>
      <c r="O36" s="237"/>
      <c r="P36" s="141">
        <v>2</v>
      </c>
      <c r="Q36" s="167"/>
      <c r="R36" s="168"/>
      <c r="S36" s="132"/>
      <c r="T36" s="132"/>
      <c r="U36" s="130"/>
      <c r="V36" s="132"/>
      <c r="W36" s="132"/>
      <c r="X36" s="132"/>
      <c r="Y36" s="144" t="str">
        <f>IFERROR(IF(AND(R35="Probabilidad",R36="Probabilidad"),(AA35-(+AA35*U36)),IF(R36="Probabilidad",(J35-(+J35*U36)),IF(R36="Impacto",AA35,""))),"")</f>
        <v/>
      </c>
      <c r="Z36" s="133"/>
      <c r="AA36" s="130"/>
      <c r="AB36" s="133"/>
      <c r="AC36" s="130"/>
      <c r="AD36" s="131"/>
      <c r="AE36" s="132"/>
      <c r="AF36" s="145" t="s">
        <v>354</v>
      </c>
      <c r="AG36" s="145" t="s">
        <v>356</v>
      </c>
      <c r="AH36" s="112">
        <v>45320</v>
      </c>
      <c r="AI36" s="112">
        <v>45641</v>
      </c>
      <c r="AJ36" s="112"/>
      <c r="AK36" s="113"/>
      <c r="AL36" s="11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row>
    <row r="37" spans="1:70" ht="18" customHeight="1" x14ac:dyDescent="0.25">
      <c r="A37" s="261"/>
      <c r="B37" s="294"/>
      <c r="C37" s="255"/>
      <c r="D37" s="255"/>
      <c r="E37" s="255"/>
      <c r="F37" s="258"/>
      <c r="G37" s="255"/>
      <c r="H37" s="252"/>
      <c r="I37" s="243"/>
      <c r="J37" s="234"/>
      <c r="K37" s="240"/>
      <c r="L37" s="234">
        <f ca="1">IF(NOT(ISERROR(MATCH(K37,_xlfn.ANCHORARRAY(F54),0))),J56&amp;"Por favor no seleccionar los criterios de impacto",K37)</f>
        <v>0</v>
      </c>
      <c r="M37" s="243"/>
      <c r="N37" s="234"/>
      <c r="O37" s="237"/>
      <c r="P37" s="155">
        <v>3</v>
      </c>
      <c r="Q37" s="147"/>
      <c r="R37" s="168"/>
      <c r="S37" s="132"/>
      <c r="T37" s="132"/>
      <c r="U37" s="130"/>
      <c r="V37" s="132"/>
      <c r="W37" s="132"/>
      <c r="X37" s="132"/>
      <c r="Y37" s="150"/>
      <c r="Z37" s="133"/>
      <c r="AA37" s="130"/>
      <c r="AB37" s="133"/>
      <c r="AC37" s="130"/>
      <c r="AD37" s="131"/>
      <c r="AE37" s="132"/>
      <c r="AF37" s="113"/>
      <c r="AG37" s="156"/>
      <c r="AH37" s="157"/>
      <c r="AI37" s="157"/>
      <c r="AJ37" s="157"/>
      <c r="AK37" s="113"/>
      <c r="AL37" s="156"/>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row>
    <row r="38" spans="1:70" ht="18" customHeight="1" x14ac:dyDescent="0.25">
      <c r="A38" s="261"/>
      <c r="B38" s="294"/>
      <c r="C38" s="255"/>
      <c r="D38" s="255"/>
      <c r="E38" s="255"/>
      <c r="F38" s="258"/>
      <c r="G38" s="255"/>
      <c r="H38" s="252"/>
      <c r="I38" s="243"/>
      <c r="J38" s="234"/>
      <c r="K38" s="240"/>
      <c r="L38" s="234">
        <f ca="1">IF(NOT(ISERROR(MATCH(K38,_xlfn.ANCHORARRAY(F55),0))),J57&amp;"Por favor no seleccionar los criterios de impacto",K38)</f>
        <v>0</v>
      </c>
      <c r="M38" s="243"/>
      <c r="N38" s="234"/>
      <c r="O38" s="237"/>
      <c r="P38" s="155">
        <v>4</v>
      </c>
      <c r="Q38" s="158"/>
      <c r="R38" s="168"/>
      <c r="S38" s="132"/>
      <c r="T38" s="132"/>
      <c r="U38" s="130"/>
      <c r="V38" s="132"/>
      <c r="W38" s="132"/>
      <c r="X38" s="132"/>
      <c r="Y38" s="150"/>
      <c r="Z38" s="133"/>
      <c r="AA38" s="130"/>
      <c r="AB38" s="133"/>
      <c r="AC38" s="130"/>
      <c r="AD38" s="131"/>
      <c r="AE38" s="132"/>
      <c r="AF38" s="113"/>
      <c r="AG38" s="156"/>
      <c r="AH38" s="157"/>
      <c r="AI38" s="157"/>
      <c r="AJ38" s="157"/>
      <c r="AK38" s="113"/>
      <c r="AL38" s="156"/>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row>
    <row r="39" spans="1:70" ht="18" customHeight="1" x14ac:dyDescent="0.25">
      <c r="A39" s="261"/>
      <c r="B39" s="294"/>
      <c r="C39" s="255"/>
      <c r="D39" s="255"/>
      <c r="E39" s="255"/>
      <c r="F39" s="258"/>
      <c r="G39" s="255"/>
      <c r="H39" s="252"/>
      <c r="I39" s="243"/>
      <c r="J39" s="234"/>
      <c r="K39" s="240"/>
      <c r="L39" s="234">
        <f ca="1">IF(NOT(ISERROR(MATCH(K39,_xlfn.ANCHORARRAY(F56),0))),J58&amp;"Por favor no seleccionar los criterios de impacto",K39)</f>
        <v>0</v>
      </c>
      <c r="M39" s="243"/>
      <c r="N39" s="234"/>
      <c r="O39" s="237"/>
      <c r="P39" s="155">
        <v>5</v>
      </c>
      <c r="Q39" s="158"/>
      <c r="R39" s="168"/>
      <c r="S39" s="132"/>
      <c r="T39" s="132"/>
      <c r="U39" s="130"/>
      <c r="V39" s="132"/>
      <c r="W39" s="132"/>
      <c r="X39" s="132"/>
      <c r="Y39" s="150" t="str">
        <f t="shared" ref="Y39:Y40" si="30">IFERROR(IF(AND(R38="Probabilidad",R39="Probabilidad"),(AA38-(+AA38*U39)),IF(AND(R38="Impacto",R39="Probabilidad"),(AA37-(+AA37*U39)),IF(R39="Impacto",AA38,""))),"")</f>
        <v/>
      </c>
      <c r="Z39" s="133"/>
      <c r="AA39" s="130"/>
      <c r="AB39" s="133"/>
      <c r="AC39" s="130"/>
      <c r="AD39" s="131"/>
      <c r="AE39" s="132"/>
      <c r="AF39" s="113"/>
      <c r="AG39" s="156"/>
      <c r="AH39" s="157"/>
      <c r="AI39" s="157"/>
      <c r="AJ39" s="157"/>
      <c r="AK39" s="113"/>
      <c r="AL39" s="156"/>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row>
    <row r="40" spans="1:70" ht="102.75" customHeight="1" x14ac:dyDescent="0.25">
      <c r="A40" s="262"/>
      <c r="B40" s="295"/>
      <c r="C40" s="256"/>
      <c r="D40" s="256"/>
      <c r="E40" s="256"/>
      <c r="F40" s="259"/>
      <c r="G40" s="256"/>
      <c r="H40" s="253"/>
      <c r="I40" s="244"/>
      <c r="J40" s="235"/>
      <c r="K40" s="241"/>
      <c r="L40" s="235">
        <f ca="1">IF(NOT(ISERROR(MATCH(K40,_xlfn.ANCHORARRAY(F57),0))),J23&amp;"Por favor no seleccionar los criterios de impacto",K40)</f>
        <v>0</v>
      </c>
      <c r="M40" s="244"/>
      <c r="N40" s="235"/>
      <c r="O40" s="238"/>
      <c r="P40" s="155">
        <v>6</v>
      </c>
      <c r="Q40" s="158"/>
      <c r="R40" s="169"/>
      <c r="S40" s="121"/>
      <c r="T40" s="121"/>
      <c r="U40" s="124"/>
      <c r="V40" s="121"/>
      <c r="W40" s="121"/>
      <c r="X40" s="121"/>
      <c r="Y40" s="150" t="str">
        <f t="shared" si="30"/>
        <v/>
      </c>
      <c r="Z40" s="126"/>
      <c r="AA40" s="124"/>
      <c r="AB40" s="126"/>
      <c r="AC40" s="124"/>
      <c r="AD40" s="129"/>
      <c r="AE40" s="121"/>
      <c r="AF40" s="113"/>
      <c r="AG40" s="156"/>
      <c r="AH40" s="157"/>
      <c r="AI40" s="157"/>
      <c r="AJ40" s="157"/>
      <c r="AK40" s="113"/>
      <c r="AL40" s="156"/>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row>
    <row r="41" spans="1:70" ht="162" customHeight="1" x14ac:dyDescent="0.25">
      <c r="A41" s="260">
        <v>6</v>
      </c>
      <c r="B41" s="293" t="s">
        <v>346</v>
      </c>
      <c r="C41" s="254" t="s">
        <v>93</v>
      </c>
      <c r="D41" s="254" t="s">
        <v>334</v>
      </c>
      <c r="E41" s="254" t="s">
        <v>335</v>
      </c>
      <c r="F41" s="257" t="s">
        <v>336</v>
      </c>
      <c r="G41" s="254" t="s">
        <v>97</v>
      </c>
      <c r="H41" s="302">
        <v>2</v>
      </c>
      <c r="I41" s="242" t="str">
        <f>IF(H41&lt;=0,"",IF(H41&lt;=2,"Muy Baja",IF(H41&lt;=24,"Baja",IF(H41&lt;=500,"Media",IF(H41&lt;=5000,"Alta","Muy Alta")))))</f>
        <v>Muy Baja</v>
      </c>
      <c r="J41" s="233">
        <f>IF(I41="","",IF(I41="Muy Baja",0.2,IF(I41="Baja",0.4,IF(I41="Media",0.6,IF(I41="Alta",0.8,IF(I41="Muy Alta",1,))))))</f>
        <v>0.2</v>
      </c>
      <c r="K41" s="239" t="s">
        <v>162</v>
      </c>
      <c r="L41" s="233" t="str">
        <f>IF(NOT(ISERROR(MATCH(K41,'Tabla Impacto'!$B$225:$B$227,0))),'Tabla Impacto'!$G$227&amp;"Por favor no seleccionar los criterios de impacto(Afectación Económica o presupuestal y Pérdida Reputacional)",K41)</f>
        <v xml:space="preserve">     El riesgo afecta la imagen de de la entidad con efecto publicitario sostenido a nivel de sector administrativo, nivel departamental o municipal</v>
      </c>
      <c r="M41" s="242" t="str">
        <f>IF(OR(L41='Tabla Impacto'!$C$15,L41='Tabla Impacto'!$E$15),"Leve",IF(OR(L41='Tabla Impacto'!$C$16,L41='Tabla Impacto'!$E$16),"Menor",IF(OR(L41='Tabla Impacto'!$C$17,L41='Tabla Impacto'!$E$17),"Moderado",IF(OR(L41='Tabla Impacto'!$C$18,L41='Tabla Impacto'!$E$18),"Mayor",IF(OR(L41='Tabla Impacto'!$C$19,L41='Tabla Impacto'!$E$19),"Catastrófico","")))))</f>
        <v>Mayor</v>
      </c>
      <c r="N41" s="233">
        <f>IF(M41="","",IF(M41="Leve",0.2,IF(M41="Menor",0.4,IF(M41="Moderado",0.6,IF(M41="Mayor",0.8,IF(M41="Catastrófico",1,))))))</f>
        <v>0.8</v>
      </c>
      <c r="O41" s="236" t="str">
        <f>IF(OR(AND(I41="Muy Baja",M41="Leve"),AND(I41="Muy Baja",M41="Menor"),AND(I41="Baja",M41="Leve")),"Bajo",IF(OR(AND(I41="Muy baja",M41="Moderado"),AND(I41="Baja",M41="Menor"),AND(I41="Baja",M41="Moderado"),AND(I41="Media",M41="Leve"),AND(I41="Media",M41="Menor"),AND(I41="Media",M41="Moderado"),AND(I41="Alta",M41="Leve"),AND(I41="Alta",M41="Menor")),"Moderado",IF(OR(AND(I41="Muy Baja",M41="Mayor"),AND(I41="Baja",M41="Mayor"),AND(I41="Media",M41="Mayor"),AND(I41="Alta",M41="Moderado"),AND(I41="Alta",M41="Mayor"),AND(I41="Muy Alta",M41="Leve"),AND(I41="Muy Alta",M41="Menor"),AND(I41="Muy Alta",M41="Moderado"),AND(I41="Muy Alta",M41="Mayor")),"Alto",IF(OR(AND(I41="Muy Baja",M41="Catastrófico"),AND(I41="Baja",M41="Catastrófico"),AND(I41="Media",M41="Catastrófico"),AND(I41="Alta",M41="Catastrófico"),AND(I41="Muy Alta",M41="Catastrófico")),"Extremo",""))))</f>
        <v>Alto</v>
      </c>
      <c r="P41" s="155">
        <v>1</v>
      </c>
      <c r="Q41" s="158" t="s">
        <v>381</v>
      </c>
      <c r="R41" s="161" t="str">
        <f>IF(OR(S41="Preventivo",S41="Detectivo"),"Probabilidad",IF(S41="Correctivo","Impacto",""))</f>
        <v>Impacto</v>
      </c>
      <c r="S41" s="162" t="s">
        <v>185</v>
      </c>
      <c r="T41" s="162" t="s">
        <v>101</v>
      </c>
      <c r="U41" s="163" t="str">
        <f>IF(AND(S41="Preventivo",T41="Automático"),"50%",IF(AND(S41="Preventivo",T41="Manual"),"40%",IF(AND(S41="Detectivo",T41="Automático"),"40%",IF(AND(S41="Detectivo",T41="Manual"),"30%",IF(AND(S41="Correctivo",T41="Automático"),"35%",IF(AND(S41="Correctivo",T41="Manual"),"25%",""))))))</f>
        <v>25%</v>
      </c>
      <c r="V41" s="162" t="s">
        <v>102</v>
      </c>
      <c r="W41" s="162" t="s">
        <v>103</v>
      </c>
      <c r="X41" s="162" t="s">
        <v>104</v>
      </c>
      <c r="Y41" s="144">
        <f>IFERROR(IF(R41="Probabilidad",(J41-(+J41*U41)),IF(R41="Impacto",J41,"")),"")</f>
        <v>0.2</v>
      </c>
      <c r="Z41" s="164" t="str">
        <f>IFERROR(IF(Y41="","",IF(Y41&lt;=0.2,"Muy Baja",IF(Y41&lt;=0.4,"Baja",IF(Y41&lt;=0.6,"Media",IF(Y41&lt;=0.8,"Alta","Muy Alta"))))),"")</f>
        <v>Muy Baja</v>
      </c>
      <c r="AA41" s="122">
        <f>+Y41</f>
        <v>0.2</v>
      </c>
      <c r="AB41" s="164" t="str">
        <f>IFERROR(IF(AC41="","",IF(AC41&lt;=0.2,"Leve",IF(AC41&lt;=0.4,"Menor",IF(AC41&lt;=0.6,"Moderado",IF(AC41&lt;=0.8,"Mayor","Catastrófico"))))),"")</f>
        <v>Moderado</v>
      </c>
      <c r="AC41" s="122">
        <f>IFERROR(IF(R41="Impacto",(N41-(+N41*U41)),IF(R41="Probabilidad",N41,"")),"")</f>
        <v>0.60000000000000009</v>
      </c>
      <c r="AD41" s="165" t="str">
        <f>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Moderado</v>
      </c>
      <c r="AE41" s="119" t="s">
        <v>105</v>
      </c>
      <c r="AF41" s="145" t="s">
        <v>359</v>
      </c>
      <c r="AG41" s="145" t="s">
        <v>360</v>
      </c>
      <c r="AH41" s="112">
        <v>45320</v>
      </c>
      <c r="AI41" s="112">
        <v>45641</v>
      </c>
      <c r="AJ41" s="157"/>
      <c r="AK41" s="113"/>
      <c r="AL41" s="156"/>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row>
    <row r="42" spans="1:70" ht="15" customHeight="1" x14ac:dyDescent="0.25">
      <c r="A42" s="261"/>
      <c r="B42" s="294"/>
      <c r="C42" s="255"/>
      <c r="D42" s="255"/>
      <c r="E42" s="255"/>
      <c r="F42" s="258"/>
      <c r="G42" s="255"/>
      <c r="H42" s="303"/>
      <c r="I42" s="243"/>
      <c r="J42" s="234"/>
      <c r="K42" s="240"/>
      <c r="L42" s="234">
        <f ca="1">IF(NOT(ISERROR(MATCH(K42,_xlfn.ANCHORARRAY(F95),0))),J97&amp;"Por favor no seleccionar los criterios de impacto",K42)</f>
        <v>0</v>
      </c>
      <c r="M42" s="243"/>
      <c r="N42" s="234"/>
      <c r="O42" s="237"/>
      <c r="P42" s="155">
        <v>2</v>
      </c>
      <c r="Q42" s="158"/>
      <c r="R42" s="161" t="str">
        <f>IF(OR(S42="Preventivo",S42="Detectivo"),"Probabilidad",IF(S42="Correctivo","Impacto",""))</f>
        <v/>
      </c>
      <c r="S42" s="162"/>
      <c r="T42" s="162"/>
      <c r="U42" s="163" t="str">
        <f t="shared" ref="U42:U46" si="31">IF(AND(S42="Preventivo",T42="Automático"),"50%",IF(AND(S42="Preventivo",T42="Manual"),"40%",IF(AND(S42="Detectivo",T42="Automático"),"40%",IF(AND(S42="Detectivo",T42="Manual"),"30%",IF(AND(S42="Correctivo",T42="Automático"),"35%",IF(AND(S42="Correctivo",T42="Manual"),"25%",""))))))</f>
        <v/>
      </c>
      <c r="V42" s="162"/>
      <c r="W42" s="162"/>
      <c r="X42" s="162"/>
      <c r="Y42" s="144" t="str">
        <f>IFERROR(IF(AND(R41="Probabilidad",R42="Probabilidad"),(AA41-(+AA41*U42)),IF(R42="Probabilidad",(J41-(+J41*U42)),IF(R42="Impacto",AA41,""))),"")</f>
        <v/>
      </c>
      <c r="Z42" s="164" t="str">
        <f t="shared" ref="Z42:Z46" si="32">IFERROR(IF(Y42="","",IF(Y42&lt;=0.2,"Muy Baja",IF(Y42&lt;=0.4,"Baja",IF(Y42&lt;=0.6,"Media",IF(Y42&lt;=0.8,"Alta","Muy Alta"))))),"")</f>
        <v/>
      </c>
      <c r="AA42" s="122" t="str">
        <f t="shared" ref="AA42:AA46" si="33">+Y42</f>
        <v/>
      </c>
      <c r="AB42" s="164" t="str">
        <f t="shared" ref="AB42:AB46" si="34">IFERROR(IF(AC42="","",IF(AC42&lt;=0.2,"Leve",IF(AC42&lt;=0.4,"Menor",IF(AC42&lt;=0.6,"Moderado",IF(AC42&lt;=0.8,"Mayor","Catastrófico"))))),"")</f>
        <v/>
      </c>
      <c r="AC42" s="122" t="str">
        <f>IFERROR(IF(AND(R41="Impacto",R42="Impacto"),(AC41-(+AC41*U42)),IF(R42="Impacto",(N41-(+N41*U42)),IF(R42="Probabilidad",AC41,""))),"")</f>
        <v/>
      </c>
      <c r="AD42" s="165" t="str">
        <f t="shared" ref="AD42:AD43" si="35">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119"/>
      <c r="AF42" s="145"/>
      <c r="AG42" s="145"/>
      <c r="AH42" s="112"/>
      <c r="AI42" s="112"/>
      <c r="AJ42" s="157"/>
      <c r="AK42" s="113"/>
      <c r="AL42" s="156"/>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row>
    <row r="43" spans="1:70" ht="18" customHeight="1" x14ac:dyDescent="0.25">
      <c r="A43" s="261"/>
      <c r="B43" s="294"/>
      <c r="C43" s="255"/>
      <c r="D43" s="255"/>
      <c r="E43" s="255"/>
      <c r="F43" s="258"/>
      <c r="G43" s="255"/>
      <c r="H43" s="303"/>
      <c r="I43" s="243"/>
      <c r="J43" s="234"/>
      <c r="K43" s="240"/>
      <c r="L43" s="234">
        <f ca="1">IF(NOT(ISERROR(MATCH(K43,_xlfn.ANCHORARRAY(F96),0))),J98&amp;"Por favor no seleccionar los criterios de impacto",K43)</f>
        <v>0</v>
      </c>
      <c r="M43" s="243"/>
      <c r="N43" s="234"/>
      <c r="O43" s="237"/>
      <c r="P43" s="155">
        <v>3</v>
      </c>
      <c r="Q43" s="147"/>
      <c r="R43" s="161" t="str">
        <f>IF(OR(S43="Preventivo",S43="Detectivo"),"Probabilidad",IF(S43="Correctivo","Impacto",""))</f>
        <v/>
      </c>
      <c r="S43" s="162"/>
      <c r="T43" s="162"/>
      <c r="U43" s="163" t="str">
        <f t="shared" si="31"/>
        <v/>
      </c>
      <c r="V43" s="162"/>
      <c r="W43" s="162"/>
      <c r="X43" s="162"/>
      <c r="Y43" s="144" t="str">
        <f>IFERROR(IF(AND(R42="Probabilidad",R43="Probabilidad"),(AA42-(+AA42*U43)),IF(AND(R42="Impacto",R43="Probabilidad"),(AA41-(+AA41*U43)),IF(R43="Impacto",AA42,""))),"")</f>
        <v/>
      </c>
      <c r="Z43" s="164" t="str">
        <f t="shared" si="32"/>
        <v/>
      </c>
      <c r="AA43" s="122" t="str">
        <f t="shared" si="33"/>
        <v/>
      </c>
      <c r="AB43" s="164" t="str">
        <f t="shared" si="34"/>
        <v/>
      </c>
      <c r="AC43" s="122" t="str">
        <f>IFERROR(IF(AND(R42="Impacto",R43="Impacto"),(AC42-(+AC42*U43)),IF(AND(R42="Probabilidad",R43="Impacto"),(AC41-(+AC41*U43)),IF(R43="Probabilidad",AC42,""))),"")</f>
        <v/>
      </c>
      <c r="AD43" s="165" t="str">
        <f t="shared" si="35"/>
        <v/>
      </c>
      <c r="AE43" s="119"/>
      <c r="AF43" s="145"/>
      <c r="AG43" s="114"/>
      <c r="AH43" s="112"/>
      <c r="AI43" s="112"/>
      <c r="AJ43" s="157"/>
      <c r="AK43" s="113"/>
      <c r="AL43" s="156"/>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row>
    <row r="44" spans="1:70" ht="18" customHeight="1" x14ac:dyDescent="0.25">
      <c r="A44" s="261"/>
      <c r="B44" s="294"/>
      <c r="C44" s="255"/>
      <c r="D44" s="255"/>
      <c r="E44" s="255"/>
      <c r="F44" s="258"/>
      <c r="G44" s="255"/>
      <c r="H44" s="303"/>
      <c r="I44" s="243"/>
      <c r="J44" s="234"/>
      <c r="K44" s="240"/>
      <c r="L44" s="234">
        <f ca="1">IF(NOT(ISERROR(MATCH(K44,_xlfn.ANCHORARRAY(F97),0))),J99&amp;"Por favor no seleccionar los criterios de impacto",K44)</f>
        <v>0</v>
      </c>
      <c r="M44" s="243"/>
      <c r="N44" s="234"/>
      <c r="O44" s="237"/>
      <c r="P44" s="155">
        <v>4</v>
      </c>
      <c r="Q44" s="158"/>
      <c r="R44" s="148" t="str">
        <f t="shared" ref="R44:R46" si="36">IF(OR(S44="Preventivo",S44="Detectivo"),"Probabilidad",IF(S44="Correctivo","Impacto",""))</f>
        <v/>
      </c>
      <c r="S44" s="115"/>
      <c r="T44" s="115"/>
      <c r="U44" s="149" t="str">
        <f t="shared" si="31"/>
        <v/>
      </c>
      <c r="V44" s="115"/>
      <c r="W44" s="115"/>
      <c r="X44" s="115"/>
      <c r="Y44" s="150" t="str">
        <f t="shared" ref="Y44:Y46" si="37">IFERROR(IF(AND(R43="Probabilidad",R44="Probabilidad"),(AA43-(+AA43*U44)),IF(AND(R43="Impacto",R44="Probabilidad"),(AA42-(+AA42*U44)),IF(R44="Impacto",AA43,""))),"")</f>
        <v/>
      </c>
      <c r="Z44" s="152" t="str">
        <f t="shared" si="32"/>
        <v/>
      </c>
      <c r="AA44" s="151" t="str">
        <f t="shared" si="33"/>
        <v/>
      </c>
      <c r="AB44" s="152" t="str">
        <f t="shared" si="34"/>
        <v/>
      </c>
      <c r="AC44" s="151" t="str">
        <f t="shared" ref="AC44:AC46" si="38">IFERROR(IF(AND(R43="Impacto",R44="Impacto"),(AC43-(+AC43*U44)),IF(AND(R43="Probabilidad",R44="Impacto"),(AC42-(+AC42*U44)),IF(R44="Probabilidad",AC43,""))),"")</f>
        <v/>
      </c>
      <c r="AD44" s="153"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54"/>
      <c r="AF44" s="113"/>
      <c r="AG44" s="156"/>
      <c r="AH44" s="157"/>
      <c r="AI44" s="157"/>
      <c r="AJ44" s="157"/>
      <c r="AK44" s="113"/>
      <c r="AL44" s="156"/>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row>
    <row r="45" spans="1:70" ht="18" customHeight="1" x14ac:dyDescent="0.25">
      <c r="A45" s="261"/>
      <c r="B45" s="294"/>
      <c r="C45" s="255"/>
      <c r="D45" s="255"/>
      <c r="E45" s="255"/>
      <c r="F45" s="258"/>
      <c r="G45" s="255"/>
      <c r="H45" s="303"/>
      <c r="I45" s="243"/>
      <c r="J45" s="234"/>
      <c r="K45" s="240"/>
      <c r="L45" s="234">
        <f ca="1">IF(NOT(ISERROR(MATCH(K45,_xlfn.ANCHORARRAY(F98),0))),J100&amp;"Por favor no seleccionar los criterios de impacto",K45)</f>
        <v>0</v>
      </c>
      <c r="M45" s="243"/>
      <c r="N45" s="234"/>
      <c r="O45" s="237"/>
      <c r="P45" s="155">
        <v>5</v>
      </c>
      <c r="Q45" s="158"/>
      <c r="R45" s="148" t="str">
        <f t="shared" si="36"/>
        <v/>
      </c>
      <c r="S45" s="115"/>
      <c r="T45" s="115"/>
      <c r="U45" s="149" t="str">
        <f t="shared" si="31"/>
        <v/>
      </c>
      <c r="V45" s="115"/>
      <c r="W45" s="115"/>
      <c r="X45" s="115"/>
      <c r="Y45" s="150" t="str">
        <f t="shared" si="37"/>
        <v/>
      </c>
      <c r="Z45" s="152" t="str">
        <f t="shared" si="32"/>
        <v/>
      </c>
      <c r="AA45" s="151" t="str">
        <f t="shared" si="33"/>
        <v/>
      </c>
      <c r="AB45" s="152" t="str">
        <f t="shared" si="34"/>
        <v/>
      </c>
      <c r="AC45" s="151" t="str">
        <f t="shared" si="38"/>
        <v/>
      </c>
      <c r="AD45" s="153" t="str">
        <f t="shared" ref="AD45:AD46" si="39">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154"/>
      <c r="AF45" s="113"/>
      <c r="AG45" s="156"/>
      <c r="AH45" s="157"/>
      <c r="AI45" s="157"/>
      <c r="AJ45" s="157"/>
      <c r="AK45" s="113"/>
      <c r="AL45" s="156"/>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row>
    <row r="46" spans="1:70" ht="18" customHeight="1" x14ac:dyDescent="0.25">
      <c r="A46" s="262"/>
      <c r="B46" s="295"/>
      <c r="C46" s="256"/>
      <c r="D46" s="256"/>
      <c r="E46" s="256"/>
      <c r="F46" s="259"/>
      <c r="G46" s="256"/>
      <c r="H46" s="304"/>
      <c r="I46" s="244"/>
      <c r="J46" s="235"/>
      <c r="K46" s="241"/>
      <c r="L46" s="235">
        <f ca="1">IF(NOT(ISERROR(MATCH(K46,_xlfn.ANCHORARRAY(F99),0))),J101&amp;"Por favor no seleccionar los criterios de impacto",K46)</f>
        <v>0</v>
      </c>
      <c r="M46" s="244"/>
      <c r="N46" s="235"/>
      <c r="O46" s="238"/>
      <c r="P46" s="155">
        <v>6</v>
      </c>
      <c r="Q46" s="158"/>
      <c r="R46" s="148" t="str">
        <f t="shared" si="36"/>
        <v/>
      </c>
      <c r="S46" s="115"/>
      <c r="T46" s="115"/>
      <c r="U46" s="149" t="str">
        <f t="shared" si="31"/>
        <v/>
      </c>
      <c r="V46" s="115"/>
      <c r="W46" s="115"/>
      <c r="X46" s="115"/>
      <c r="Y46" s="150" t="str">
        <f t="shared" si="37"/>
        <v/>
      </c>
      <c r="Z46" s="152" t="str">
        <f t="shared" si="32"/>
        <v/>
      </c>
      <c r="AA46" s="151" t="str">
        <f t="shared" si="33"/>
        <v/>
      </c>
      <c r="AB46" s="152" t="str">
        <f t="shared" si="34"/>
        <v/>
      </c>
      <c r="AC46" s="151" t="str">
        <f t="shared" si="38"/>
        <v/>
      </c>
      <c r="AD46" s="153" t="str">
        <f t="shared" si="39"/>
        <v/>
      </c>
      <c r="AE46" s="154"/>
      <c r="AF46" s="113"/>
      <c r="AG46" s="156"/>
      <c r="AH46" s="157"/>
      <c r="AI46" s="157"/>
      <c r="AJ46" s="157"/>
      <c r="AK46" s="113"/>
      <c r="AL46" s="156"/>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row>
    <row r="47" spans="1:70" ht="140.25" customHeight="1" x14ac:dyDescent="0.25">
      <c r="A47" s="260">
        <v>7</v>
      </c>
      <c r="B47" s="293" t="s">
        <v>346</v>
      </c>
      <c r="C47" s="254" t="s">
        <v>93</v>
      </c>
      <c r="D47" s="254" t="s">
        <v>373</v>
      </c>
      <c r="E47" s="254" t="s">
        <v>374</v>
      </c>
      <c r="F47" s="257" t="s">
        <v>375</v>
      </c>
      <c r="G47" s="254" t="s">
        <v>97</v>
      </c>
      <c r="H47" s="251">
        <v>2</v>
      </c>
      <c r="I47" s="242" t="str">
        <f>IF(H47&lt;=0,"",IF(H47&lt;=2,"Muy Baja",IF(H47&lt;=24,"Baja",IF(H47&lt;=500,"Media",IF(H47&lt;=5000,"Alta","Muy Alta")))))</f>
        <v>Muy Baja</v>
      </c>
      <c r="J47" s="233">
        <f>IF(I47="","",IF(I47="Muy Baja",0.2,IF(I47="Baja",0.4,IF(I47="Media",0.6,IF(I47="Alta",0.8,IF(I47="Muy Alta",1,))))))</f>
        <v>0.2</v>
      </c>
      <c r="K47" s="239" t="s">
        <v>156</v>
      </c>
      <c r="L47" s="233" t="str">
        <f>IF(NOT(ISERROR(MATCH(K47,'Tabla Impacto'!$B$225:$B$227,0))),'Tabla Impacto'!$G$227&amp;"Por favor no seleccionar los criterios de impacto(Afectación Económica o presupuestal y Pérdida Reputacional)",K47)</f>
        <v xml:space="preserve">     El riesgo afecta la imagen de alguna área de la organización</v>
      </c>
      <c r="M47" s="242" t="str">
        <f>IF(OR(L47='Tabla Impacto'!$C$15,L47='Tabla Impacto'!$E$15),"Leve",IF(OR(L47='Tabla Impacto'!$C$16,L47='Tabla Impacto'!$E$16),"Menor",IF(OR(L47='Tabla Impacto'!$C$17,L47='Tabla Impacto'!$E$17),"Moderado",IF(OR(L47='Tabla Impacto'!$C$18,L47='Tabla Impacto'!$E$18),"Mayor",IF(OR(L47='Tabla Impacto'!$C$19,L47='Tabla Impacto'!$E$19),"Catastrófico","")))))</f>
        <v>Leve</v>
      </c>
      <c r="N47" s="233">
        <f>IF(M47="","",IF(M47="Leve",0.2,IF(M47="Menor",0.4,IF(M47="Moderado",0.6,IF(M47="Mayor",0.8,IF(M47="Catastrófico",1,))))))</f>
        <v>0.2</v>
      </c>
      <c r="O47" s="236" t="str">
        <f>IF(OR(AND(I47="Muy Baja",M47="Leve"),AND(I47="Muy Baja",M47="Menor"),AND(I47="Baja",M47="Leve")),"Bajo",IF(OR(AND(I47="Muy baja",M47="Moderado"),AND(I47="Baja",M47="Menor"),AND(I47="Baja",M47="Moderado"),AND(I47="Media",M47="Leve"),AND(I47="Media",M47="Menor"),AND(I47="Media",M47="Moderado"),AND(I47="Alta",M47="Leve"),AND(I47="Alta",M47="Menor")),"Moderado",IF(OR(AND(I47="Muy Baja",M47="Mayor"),AND(I47="Baja",M47="Mayor"),AND(I47="Media",M47="Mayor"),AND(I47="Alta",M47="Moderado"),AND(I47="Alta",M47="Mayor"),AND(I47="Muy Alta",M47="Leve"),AND(I47="Muy Alta",M47="Menor"),AND(I47="Muy Alta",M47="Moderado"),AND(I47="Muy Alta",M47="Mayor")),"Alto",IF(OR(AND(I47="Muy Baja",M47="Catastrófico"),AND(I47="Baja",M47="Catastrófico"),AND(I47="Media",M47="Catastrófico"),AND(I47="Alta",M47="Catastrófico"),AND(I47="Muy Alta",M47="Catastrófico")),"Extremo",""))))</f>
        <v>Bajo</v>
      </c>
      <c r="P47" s="141">
        <v>1</v>
      </c>
      <c r="Q47" s="158" t="s">
        <v>376</v>
      </c>
      <c r="R47" s="161" t="str">
        <f>IF(OR(S47="Preventivo",S47="Detectivo"),"Probabilidad",IF(S47="Correctivo","Impacto",""))</f>
        <v>Impacto</v>
      </c>
      <c r="S47" s="162" t="s">
        <v>185</v>
      </c>
      <c r="T47" s="162" t="s">
        <v>101</v>
      </c>
      <c r="U47" s="163" t="str">
        <f>IF(AND(S47="Preventivo",T47="Automático"),"50%",IF(AND(S47="Preventivo",T47="Manual"),"40%",IF(AND(S47="Detectivo",T47="Automático"),"40%",IF(AND(S47="Detectivo",T47="Manual"),"30%",IF(AND(S47="Correctivo",T47="Automático"),"35%",IF(AND(S47="Correctivo",T47="Manual"),"25%",""))))))</f>
        <v>25%</v>
      </c>
      <c r="V47" s="162" t="s">
        <v>102</v>
      </c>
      <c r="W47" s="162" t="s">
        <v>103</v>
      </c>
      <c r="X47" s="162" t="s">
        <v>104</v>
      </c>
      <c r="Y47" s="144">
        <f>IFERROR(IF(R47="Probabilidad",(J47-(+J47*U47)),IF(R47="Impacto",J47,"")),"")</f>
        <v>0.2</v>
      </c>
      <c r="Z47" s="164" t="str">
        <f>IFERROR(IF(Y47="","",IF(Y47&lt;=0.2,"Muy Baja",IF(Y47&lt;=0.4,"Baja",IF(Y47&lt;=0.6,"Media",IF(Y47&lt;=0.8,"Alta","Muy Alta"))))),"")</f>
        <v>Muy Baja</v>
      </c>
      <c r="AA47" s="122">
        <f>+Y47</f>
        <v>0.2</v>
      </c>
      <c r="AB47" s="164" t="str">
        <f>IFERROR(IF(AC47="","",IF(AC47&lt;=0.2,"Leve",IF(AC47&lt;=0.4,"Menor",IF(AC47&lt;=0.6,"Moderado",IF(AC47&lt;=0.8,"Mayor","Catastrófico"))))),"")</f>
        <v>Leve</v>
      </c>
      <c r="AC47" s="122">
        <f>IFERROR(IF(R47="Impacto",(N47-(+N47*U47)),IF(R47="Probabilidad",N47,"")),"")</f>
        <v>0.15000000000000002</v>
      </c>
      <c r="AD47" s="165" t="str">
        <f>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Bajo</v>
      </c>
      <c r="AE47" s="119" t="s">
        <v>105</v>
      </c>
      <c r="AF47" s="175" t="s">
        <v>382</v>
      </c>
      <c r="AG47" s="145" t="s">
        <v>360</v>
      </c>
      <c r="AH47" s="112">
        <v>45320</v>
      </c>
      <c r="AI47" s="112">
        <v>45641</v>
      </c>
      <c r="AJ47" s="157"/>
      <c r="AK47" s="113"/>
      <c r="AL47" s="156"/>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row>
    <row r="48" spans="1:70" ht="18" customHeight="1" x14ac:dyDescent="0.25">
      <c r="A48" s="261"/>
      <c r="B48" s="294"/>
      <c r="C48" s="255"/>
      <c r="D48" s="255"/>
      <c r="E48" s="255"/>
      <c r="F48" s="258"/>
      <c r="G48" s="255"/>
      <c r="H48" s="252"/>
      <c r="I48" s="243"/>
      <c r="J48" s="234"/>
      <c r="K48" s="240"/>
      <c r="L48" s="234">
        <f ca="1">IF(NOT(ISERROR(MATCH(K48,_xlfn.ANCHORARRAY(F101),0))),J103&amp;"Por favor no seleccionar los criterios de impacto",K48)</f>
        <v>0</v>
      </c>
      <c r="M48" s="243"/>
      <c r="N48" s="234"/>
      <c r="O48" s="237"/>
      <c r="P48" s="155">
        <v>2</v>
      </c>
      <c r="Q48" s="158"/>
      <c r="R48" s="148"/>
      <c r="S48" s="115"/>
      <c r="T48" s="115"/>
      <c r="U48" s="149"/>
      <c r="V48" s="115"/>
      <c r="W48" s="115"/>
      <c r="X48" s="115"/>
      <c r="Y48" s="150"/>
      <c r="Z48" s="152"/>
      <c r="AA48" s="151"/>
      <c r="AB48" s="152"/>
      <c r="AC48" s="151"/>
      <c r="AD48" s="153"/>
      <c r="AE48" s="154"/>
      <c r="AF48" s="113"/>
      <c r="AG48" s="156"/>
      <c r="AH48" s="157"/>
      <c r="AI48" s="157"/>
      <c r="AJ48" s="157"/>
      <c r="AK48" s="113"/>
      <c r="AL48" s="156"/>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row>
    <row r="49" spans="1:70" ht="18" customHeight="1" x14ac:dyDescent="0.25">
      <c r="A49" s="261"/>
      <c r="B49" s="294"/>
      <c r="C49" s="255"/>
      <c r="D49" s="255"/>
      <c r="E49" s="255"/>
      <c r="F49" s="258"/>
      <c r="G49" s="255"/>
      <c r="H49" s="252"/>
      <c r="I49" s="243"/>
      <c r="J49" s="234"/>
      <c r="K49" s="240"/>
      <c r="L49" s="234">
        <f ca="1">IF(NOT(ISERROR(MATCH(K49,_xlfn.ANCHORARRAY(F102),0))),J104&amp;"Por favor no seleccionar los criterios de impacto",K49)</f>
        <v>0</v>
      </c>
      <c r="M49" s="243"/>
      <c r="N49" s="234"/>
      <c r="O49" s="237"/>
      <c r="P49" s="155">
        <v>3</v>
      </c>
      <c r="Q49" s="147"/>
      <c r="R49" s="148"/>
      <c r="S49" s="115"/>
      <c r="T49" s="115"/>
      <c r="U49" s="149"/>
      <c r="V49" s="115"/>
      <c r="W49" s="115"/>
      <c r="X49" s="115"/>
      <c r="Y49" s="150"/>
      <c r="Z49" s="152"/>
      <c r="AA49" s="151"/>
      <c r="AB49" s="152"/>
      <c r="AC49" s="151"/>
      <c r="AD49" s="153"/>
      <c r="AE49" s="154"/>
      <c r="AF49" s="113"/>
      <c r="AG49" s="156"/>
      <c r="AH49" s="157"/>
      <c r="AI49" s="157"/>
      <c r="AJ49" s="157"/>
      <c r="AK49" s="113"/>
      <c r="AL49" s="156"/>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row>
    <row r="50" spans="1:70" ht="18" customHeight="1" x14ac:dyDescent="0.25">
      <c r="A50" s="261"/>
      <c r="B50" s="294"/>
      <c r="C50" s="255"/>
      <c r="D50" s="255"/>
      <c r="E50" s="255"/>
      <c r="F50" s="258"/>
      <c r="G50" s="255"/>
      <c r="H50" s="252"/>
      <c r="I50" s="243"/>
      <c r="J50" s="234"/>
      <c r="K50" s="240"/>
      <c r="L50" s="234">
        <f ca="1">IF(NOT(ISERROR(MATCH(K50,_xlfn.ANCHORARRAY(F103),0))),J105&amp;"Por favor no seleccionar los criterios de impacto",K50)</f>
        <v>0</v>
      </c>
      <c r="M50" s="243"/>
      <c r="N50" s="234"/>
      <c r="O50" s="237"/>
      <c r="P50" s="155">
        <v>4</v>
      </c>
      <c r="Q50" s="158"/>
      <c r="R50" s="148"/>
      <c r="S50" s="115"/>
      <c r="T50" s="115"/>
      <c r="U50" s="149"/>
      <c r="V50" s="115"/>
      <c r="W50" s="115"/>
      <c r="X50" s="115"/>
      <c r="Y50" s="150"/>
      <c r="Z50" s="152"/>
      <c r="AA50" s="151"/>
      <c r="AB50" s="152"/>
      <c r="AC50" s="151"/>
      <c r="AD50" s="153"/>
      <c r="AE50" s="154"/>
      <c r="AF50" s="113"/>
      <c r="AG50" s="156"/>
      <c r="AH50" s="157"/>
      <c r="AI50" s="157"/>
      <c r="AJ50" s="157"/>
      <c r="AK50" s="113"/>
      <c r="AL50" s="156"/>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row>
    <row r="51" spans="1:70" ht="18" customHeight="1" x14ac:dyDescent="0.25">
      <c r="A51" s="261"/>
      <c r="B51" s="294"/>
      <c r="C51" s="255"/>
      <c r="D51" s="255"/>
      <c r="E51" s="255"/>
      <c r="F51" s="258"/>
      <c r="G51" s="255"/>
      <c r="H51" s="252"/>
      <c r="I51" s="243"/>
      <c r="J51" s="234"/>
      <c r="K51" s="240"/>
      <c r="L51" s="234">
        <f ca="1">IF(NOT(ISERROR(MATCH(K51,_xlfn.ANCHORARRAY(F104),0))),J106&amp;"Por favor no seleccionar los criterios de impacto",K51)</f>
        <v>0</v>
      </c>
      <c r="M51" s="243"/>
      <c r="N51" s="234"/>
      <c r="O51" s="237"/>
      <c r="P51" s="155">
        <v>5</v>
      </c>
      <c r="Q51" s="158"/>
      <c r="R51" s="148"/>
      <c r="S51" s="115"/>
      <c r="T51" s="115"/>
      <c r="U51" s="149"/>
      <c r="V51" s="115"/>
      <c r="W51" s="115"/>
      <c r="X51" s="115"/>
      <c r="Y51" s="150"/>
      <c r="Z51" s="152"/>
      <c r="AA51" s="151"/>
      <c r="AB51" s="152"/>
      <c r="AC51" s="151"/>
      <c r="AD51" s="153"/>
      <c r="AE51" s="154"/>
      <c r="AF51" s="113"/>
      <c r="AG51" s="156"/>
      <c r="AH51" s="157"/>
      <c r="AI51" s="157"/>
      <c r="AJ51" s="157"/>
      <c r="AK51" s="113"/>
      <c r="AL51" s="156"/>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row>
    <row r="52" spans="1:70" ht="74.25" customHeight="1" x14ac:dyDescent="0.25">
      <c r="A52" s="262"/>
      <c r="B52" s="295"/>
      <c r="C52" s="256"/>
      <c r="D52" s="256"/>
      <c r="E52" s="256"/>
      <c r="F52" s="259"/>
      <c r="G52" s="256"/>
      <c r="H52" s="253"/>
      <c r="I52" s="244"/>
      <c r="J52" s="235"/>
      <c r="K52" s="241"/>
      <c r="L52" s="235">
        <f ca="1">IF(NOT(ISERROR(MATCH(K52,_xlfn.ANCHORARRAY(F105),0))),J107&amp;"Por favor no seleccionar los criterios de impacto",K52)</f>
        <v>0</v>
      </c>
      <c r="M52" s="244"/>
      <c r="N52" s="235"/>
      <c r="O52" s="238"/>
      <c r="P52" s="155">
        <v>6</v>
      </c>
      <c r="Q52" s="158"/>
      <c r="R52" s="148"/>
      <c r="S52" s="115"/>
      <c r="T52" s="115"/>
      <c r="U52" s="149"/>
      <c r="V52" s="115"/>
      <c r="W52" s="115"/>
      <c r="X52" s="115"/>
      <c r="Y52" s="150"/>
      <c r="Z52" s="152"/>
      <c r="AA52" s="151"/>
      <c r="AB52" s="152"/>
      <c r="AC52" s="151"/>
      <c r="AD52" s="153"/>
      <c r="AE52" s="154"/>
      <c r="AF52" s="113"/>
      <c r="AG52" s="156"/>
      <c r="AH52" s="157"/>
      <c r="AI52" s="157"/>
      <c r="AJ52" s="157"/>
      <c r="AK52" s="113"/>
      <c r="AL52" s="156"/>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row>
    <row r="53" spans="1:70" ht="156" customHeight="1" x14ac:dyDescent="0.25">
      <c r="A53" s="260">
        <v>8</v>
      </c>
      <c r="B53" s="293" t="s">
        <v>361</v>
      </c>
      <c r="C53" s="281" t="s">
        <v>93</v>
      </c>
      <c r="D53" s="284" t="s">
        <v>333</v>
      </c>
      <c r="E53" s="284" t="s">
        <v>347</v>
      </c>
      <c r="F53" s="287" t="s">
        <v>348</v>
      </c>
      <c r="G53" s="290" t="s">
        <v>97</v>
      </c>
      <c r="H53" s="251">
        <v>2</v>
      </c>
      <c r="I53" s="242" t="str">
        <f>IF(H53&lt;=0,"",IF(H53&lt;=2,"Muy Baja",IF(H53&lt;=24,"Baja",IF(H53&lt;=500,"Media",IF(H53&lt;=5000,"Alta","Muy Alta")))))</f>
        <v>Muy Baja</v>
      </c>
      <c r="J53" s="233">
        <f>IF(I53="","",IF(I53="Muy Baja",0.2,IF(I53="Baja",0.4,IF(I53="Media",0.6,IF(I53="Alta",0.8,IF(I53="Muy Alta",1,))))))</f>
        <v>0.2</v>
      </c>
      <c r="K53" s="239" t="s">
        <v>159</v>
      </c>
      <c r="L53" s="213" t="str">
        <f>IF(NOT(ISERROR(MATCH(K53,'[1]Tabla Impacto'!$B$225:$B$227,0))),'[1]Tabla Impacto'!$G$227&amp;"Por favor no seleccionar los criterios de impacto(Afectación Económica o presupuestal y Pérdida Reputacional)",K53)</f>
        <v xml:space="preserve">     El riesgo afecta la imagen de la entidad internamente, de conocimiento general, nivel interno, de junta dircetiva y accionistas y/o de provedores</v>
      </c>
      <c r="M53" s="242" t="str">
        <f>IF(OR(L53='[1]Tabla Impacto'!$C$15,L53='[1]Tabla Impacto'!$E$15),"Leve",IF(OR(L53='[1]Tabla Impacto'!$C$16,L53='[1]Tabla Impacto'!$E$16),"Menor",IF(OR(L53='[1]Tabla Impacto'!$C$17,L53='[1]Tabla Impacto'!$E$17),"Moderado",IF(OR(L53='[1]Tabla Impacto'!$C$18,L53='[1]Tabla Impacto'!$E$18),"Mayor",IF(OR(L53='[1]Tabla Impacto'!$C$19,L53='[1]Tabla Impacto'!$E$19),"Catastrófico","")))))</f>
        <v>Menor</v>
      </c>
      <c r="N53" s="233">
        <f>IF(M53="","",IF(M53="Leve",0.2,IF(M53="Menor",0.4,IF(M53="Moderado",0.6,IF(M53="Mayor",0.8,IF(M53="Catastrófico",1,))))))</f>
        <v>0.4</v>
      </c>
      <c r="O53" s="236" t="str">
        <f>IF(OR(AND(I53="Muy Baja",M53="Leve"),AND(I53="Muy Baja",M53="Menor"),AND(I53="Baja",M53="Leve")),"Bajo",IF(OR(AND(I53="Muy baja",M53="Moderado"),AND(I53="Baja",M53="Menor"),AND(I53="Baja",M53="Moderado"),AND(I53="Media",M53="Leve"),AND(I53="Media",M53="Menor"),AND(I53="Media",M53="Moderado"),AND(I53="Alta",M53="Leve"),AND(I53="Alta",M53="Menor")),"Moderado",IF(OR(AND(I53="Muy Baja",M53="Mayor"),AND(I53="Baja",M53="Mayor"),AND(I53="Media",M53="Mayor"),AND(I53="Alta",M53="Moderado"),AND(I53="Alta",M53="Mayor"),AND(I53="Muy Alta",M53="Leve"),AND(I53="Muy Alta",M53="Menor"),AND(I53="Muy Alta",M53="Moderado"),AND(I53="Muy Alta",M53="Mayor")),"Alto",IF(OR(AND(I53="Muy Baja",M53="Catastrófico"),AND(I53="Baja",M53="Catastrófico"),AND(I53="Media",M53="Catastrófico"),AND(I53="Alta",M53="Catastrófico"),AND(I53="Muy Alta",M53="Catastrófico")),"Extremo",""))))</f>
        <v>Bajo</v>
      </c>
      <c r="P53" s="141">
        <v>1</v>
      </c>
      <c r="Q53" s="158" t="s">
        <v>362</v>
      </c>
      <c r="R53" s="161" t="str">
        <f>IF(OR(S53="Preventivo",S53="Detectivo"),"Probabilidad",IF(S53="Correctivo","Impacto",""))</f>
        <v>Impacto</v>
      </c>
      <c r="S53" s="162" t="s">
        <v>185</v>
      </c>
      <c r="T53" s="162" t="s">
        <v>101</v>
      </c>
      <c r="U53" s="163" t="str">
        <f>IF(AND(S53="Preventivo",T53="Automático"),"50%",IF(AND(S53="Preventivo",T53="Manual"),"40%",IF(AND(S53="Detectivo",T53="Automático"),"40%",IF(AND(S53="Detectivo",T53="Manual"),"30%",IF(AND(S53="Correctivo",T53="Automático"),"35%",IF(AND(S53="Correctivo",T53="Manual"),"25%",""))))))</f>
        <v>25%</v>
      </c>
      <c r="V53" s="162" t="s">
        <v>102</v>
      </c>
      <c r="W53" s="162" t="s">
        <v>103</v>
      </c>
      <c r="X53" s="162" t="s">
        <v>104</v>
      </c>
      <c r="Y53" s="170">
        <f>IFERROR(IF(R53="Probabilidad",(J53-(+J53*U53)),IF(R53="Impacto",J53,"")),"")</f>
        <v>0.2</v>
      </c>
      <c r="Z53" s="164" t="str">
        <f>IFERROR(IF(Y53="","",IF(Y53&lt;=0.2,"Muy Baja",IF(Y53&lt;=0.4,"Baja",IF(Y53&lt;=0.6,"Media",IF(Y53&lt;=0.8,"Alta","Muy Alta"))))),"")</f>
        <v>Muy Baja</v>
      </c>
      <c r="AA53" s="122">
        <f>+Y53</f>
        <v>0.2</v>
      </c>
      <c r="AB53" s="164" t="str">
        <f>IFERROR(IF(AC53="","",IF(AC53&lt;=0.2,"Leve",IF(AC53&lt;=0.4,"Menor",IF(AC53&lt;=0.6,"Moderado",IF(AC53&lt;=0.8,"Mayor","Catastrófico"))))),"")</f>
        <v>Menor</v>
      </c>
      <c r="AC53" s="122">
        <f>IFERROR(IF(R53="Impacto",(N53-(+N53*U53)),IF(R53="Probabilidad",N53,"")),"")</f>
        <v>0.30000000000000004</v>
      </c>
      <c r="AD53" s="165"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Bajo</v>
      </c>
      <c r="AE53" s="119" t="s">
        <v>105</v>
      </c>
      <c r="AF53" s="117" t="s">
        <v>357</v>
      </c>
      <c r="AG53" s="145" t="s">
        <v>358</v>
      </c>
      <c r="AH53" s="112">
        <v>45320</v>
      </c>
      <c r="AI53" s="112">
        <v>45641</v>
      </c>
      <c r="AJ53" s="157"/>
      <c r="AK53" s="113"/>
      <c r="AL53" s="156"/>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row>
    <row r="54" spans="1:70" ht="174" customHeight="1" x14ac:dyDescent="0.25">
      <c r="A54" s="261"/>
      <c r="B54" s="294"/>
      <c r="C54" s="282"/>
      <c r="D54" s="285"/>
      <c r="E54" s="285"/>
      <c r="F54" s="288"/>
      <c r="G54" s="291"/>
      <c r="H54" s="252"/>
      <c r="I54" s="243"/>
      <c r="J54" s="234"/>
      <c r="K54" s="240"/>
      <c r="L54" s="214">
        <f ca="1">IF(NOT(ISERROR(MATCH(K54,_xlfn.ANCHORARRAY(F17),0))),J19&amp;"Por favor no seleccionar los criterios de impacto",K54)</f>
        <v>0</v>
      </c>
      <c r="M54" s="243"/>
      <c r="N54" s="234"/>
      <c r="O54" s="237"/>
      <c r="P54" s="155">
        <v>2</v>
      </c>
      <c r="Q54" s="158" t="s">
        <v>378</v>
      </c>
      <c r="R54" s="161" t="str">
        <f>IF(OR(S54="Preventivo",S54="Detectivo"),"Probabilidad",IF(S54="Correctivo","Impacto",""))</f>
        <v>Impacto</v>
      </c>
      <c r="S54" s="162" t="s">
        <v>185</v>
      </c>
      <c r="T54" s="162" t="s">
        <v>101</v>
      </c>
      <c r="U54" s="163" t="str">
        <f t="shared" ref="U54:U55" si="40">IF(AND(S54="Preventivo",T54="Automático"),"50%",IF(AND(S54="Preventivo",T54="Manual"),"40%",IF(AND(S54="Detectivo",T54="Automático"),"40%",IF(AND(S54="Detectivo",T54="Manual"),"30%",IF(AND(S54="Correctivo",T54="Automático"),"35%",IF(AND(S54="Correctivo",T54="Manual"),"25%",""))))))</f>
        <v>25%</v>
      </c>
      <c r="V54" s="162" t="s">
        <v>102</v>
      </c>
      <c r="W54" s="162" t="s">
        <v>103</v>
      </c>
      <c r="X54" s="162" t="s">
        <v>104</v>
      </c>
      <c r="Y54" s="144">
        <f>IFERROR(IF(AND(R53="Probabilidad",R54="Probabilidad"),(AA53-(+AA53*U54)),IF(R54="Probabilidad",(J53-(+J53*U54)),IF(R54="Impacto",AA53,""))),"")</f>
        <v>0.2</v>
      </c>
      <c r="Z54" s="164" t="str">
        <f t="shared" ref="Z54:Z55" si="41">IFERROR(IF(Y54="","",IF(Y54&lt;=0.2,"Muy Baja",IF(Y54&lt;=0.4,"Baja",IF(Y54&lt;=0.6,"Media",IF(Y54&lt;=0.8,"Alta","Muy Alta"))))),"")</f>
        <v>Muy Baja</v>
      </c>
      <c r="AA54" s="122">
        <f t="shared" ref="AA54:AA55" si="42">+Y54</f>
        <v>0.2</v>
      </c>
      <c r="AB54" s="164" t="str">
        <f t="shared" ref="AB54:AB55" si="43">IFERROR(IF(AC54="","",IF(AC54&lt;=0.2,"Leve",IF(AC54&lt;=0.4,"Menor",IF(AC54&lt;=0.6,"Moderado",IF(AC54&lt;=0.8,"Mayor","Catastrófico"))))),"")</f>
        <v>Menor</v>
      </c>
      <c r="AC54" s="122">
        <f>IFERROR(IF(AND(R53="Impacto",R54="Impacto"),(AC53-(+AC53*U54)),IF(R54="Impacto",(N53-(+N53*U54)),IF(R54="Probabilidad",AC53,""))),"")</f>
        <v>0.22500000000000003</v>
      </c>
      <c r="AD54" s="165" t="str">
        <f t="shared" ref="AD54:AD55" si="44">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Bajo</v>
      </c>
      <c r="AE54" s="119" t="s">
        <v>105</v>
      </c>
      <c r="AF54" s="113" t="s">
        <v>377</v>
      </c>
      <c r="AG54" s="145" t="s">
        <v>363</v>
      </c>
      <c r="AH54" s="112">
        <v>45320</v>
      </c>
      <c r="AI54" s="112">
        <v>45641</v>
      </c>
      <c r="AJ54" s="157"/>
      <c r="AK54" s="113"/>
      <c r="AL54" s="156"/>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row>
    <row r="55" spans="1:70" ht="127.5" customHeight="1" x14ac:dyDescent="0.25">
      <c r="A55" s="261"/>
      <c r="B55" s="294"/>
      <c r="C55" s="282"/>
      <c r="D55" s="285"/>
      <c r="E55" s="285"/>
      <c r="F55" s="288"/>
      <c r="G55" s="291"/>
      <c r="H55" s="252"/>
      <c r="I55" s="243"/>
      <c r="J55" s="234"/>
      <c r="K55" s="240"/>
      <c r="L55" s="214">
        <f ca="1">IF(NOT(ISERROR(MATCH(K55,_xlfn.ANCHORARRAY(F18),0))),J20&amp;"Por favor no seleccionar los criterios de impacto",K55)</f>
        <v>0</v>
      </c>
      <c r="M55" s="243"/>
      <c r="N55" s="234"/>
      <c r="O55" s="237"/>
      <c r="P55" s="155">
        <v>3</v>
      </c>
      <c r="Q55" s="158" t="s">
        <v>365</v>
      </c>
      <c r="R55" s="161" t="s">
        <v>110</v>
      </c>
      <c r="S55" s="162" t="s">
        <v>338</v>
      </c>
      <c r="T55" s="162" t="s">
        <v>101</v>
      </c>
      <c r="U55" s="163" t="str">
        <f t="shared" si="40"/>
        <v>40%</v>
      </c>
      <c r="V55" s="162" t="s">
        <v>102</v>
      </c>
      <c r="W55" s="162" t="s">
        <v>103</v>
      </c>
      <c r="X55" s="162" t="s">
        <v>104</v>
      </c>
      <c r="Y55" s="144">
        <f>IFERROR(IF(AND(R54="Probabilidad",R55="Probabilidad"),(AA54-(+AA54*U55)),IF(R55="Probabilidad",(J54-(+J54*U55)),IF(R55="Impacto",AA54,""))),"")</f>
        <v>0</v>
      </c>
      <c r="Z55" s="164" t="str">
        <f t="shared" si="41"/>
        <v>Muy Baja</v>
      </c>
      <c r="AA55" s="122">
        <f t="shared" si="42"/>
        <v>0</v>
      </c>
      <c r="AB55" s="164" t="str">
        <f t="shared" si="43"/>
        <v>Menor</v>
      </c>
      <c r="AC55" s="122">
        <f>IFERROR(IF(AND(R54="Impacto",R55="Impacto"),(AC54-(+AC54*U55)),IF(R55="Impacto",(N54-(+N54*U55)),IF(R55="Probabilidad",AC54,""))),"")</f>
        <v>0.22500000000000003</v>
      </c>
      <c r="AD55" s="165" t="str">
        <f t="shared" si="44"/>
        <v>Bajo</v>
      </c>
      <c r="AE55" s="119" t="s">
        <v>105</v>
      </c>
      <c r="AF55" s="145" t="s">
        <v>379</v>
      </c>
      <c r="AG55" s="145" t="s">
        <v>364</v>
      </c>
      <c r="AH55" s="112">
        <v>45320</v>
      </c>
      <c r="AI55" s="112">
        <v>45641</v>
      </c>
      <c r="AJ55" s="157"/>
      <c r="AK55" s="113"/>
      <c r="AL55" s="156"/>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row>
    <row r="56" spans="1:70" ht="165" customHeight="1" x14ac:dyDescent="0.25">
      <c r="A56" s="261"/>
      <c r="B56" s="294"/>
      <c r="C56" s="282"/>
      <c r="D56" s="285"/>
      <c r="E56" s="285"/>
      <c r="F56" s="288"/>
      <c r="G56" s="291"/>
      <c r="H56" s="252"/>
      <c r="I56" s="243"/>
      <c r="J56" s="234"/>
      <c r="K56" s="240"/>
      <c r="L56" s="214">
        <f ca="1">IF(NOT(ISERROR(MATCH(K56,_xlfn.ANCHORARRAY(F19),0))),J21&amp;"Por favor no seleccionar los criterios de impacto",K56)</f>
        <v>0</v>
      </c>
      <c r="M56" s="243"/>
      <c r="N56" s="234"/>
      <c r="O56" s="237"/>
      <c r="P56" s="155">
        <v>4</v>
      </c>
      <c r="Q56" s="116" t="s">
        <v>380</v>
      </c>
      <c r="R56" s="143" t="str">
        <f>IF(OR(S56="Preventivo",S56="Detectivo"),"Probabilidad",IF(S56="Correctivo","Impacto",""))</f>
        <v>Probabilidad</v>
      </c>
      <c r="S56" s="119" t="s">
        <v>100</v>
      </c>
      <c r="T56" s="119" t="s">
        <v>101</v>
      </c>
      <c r="U56" s="122" t="str">
        <f>IF(AND(S56="Preventivo",T56="Automático"),"50%",IF(AND(S56="Preventivo",T56="Manual"),"40%",IF(AND(S56="Detectivo",T56="Automático"),"40%",IF(AND(S56="Detectivo",T56="Manual"),"30%",IF(AND(S56="Correctivo",T56="Automático"),"35%",IF(AND(S56="Correctivo",T56="Manual"),"25%",""))))))</f>
        <v>40%</v>
      </c>
      <c r="V56" s="119" t="s">
        <v>102</v>
      </c>
      <c r="W56" s="119" t="s">
        <v>103</v>
      </c>
      <c r="X56" s="119" t="s">
        <v>104</v>
      </c>
      <c r="Y56" s="144">
        <f>IFERROR(IF(R56="Probabilidad",(J56-(+J56*U56)),IF(R56="Impacto",J56,"")),"")</f>
        <v>0</v>
      </c>
      <c r="Z56" s="118" t="str">
        <f>IFERROR(IF(Y56="","",IF(Y56&lt;=0.2,"Muy Baja",IF(Y56&lt;=0.4,"Baja",IF(Y56&lt;=0.6,"Media",IF(Y56&lt;=0.8,"Alta","Muy Alta"))))),"")</f>
        <v>Muy Baja</v>
      </c>
      <c r="AA56" s="122">
        <f>+Y56</f>
        <v>0</v>
      </c>
      <c r="AB56" s="118" t="str">
        <f>IFERROR(IF(AC56="","",IF(AC56&lt;=0.2,"Leve",IF(AC56&lt;=0.4,"Menor",IF(AC56&lt;=0.6,"Moderado",IF(AC56&lt;=0.8,"Mayor","Catastrófico"))))),"")</f>
        <v>Leve</v>
      </c>
      <c r="AC56" s="122">
        <f>IFERROR(IF(R56="Impacto",(N56-(+N56*U56)),IF(R56="Probabilidad",N56,"")),"")</f>
        <v>0</v>
      </c>
      <c r="AD56" s="127" t="str">
        <f>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Bajo</v>
      </c>
      <c r="AE56" s="119" t="s">
        <v>105</v>
      </c>
      <c r="AF56" s="117" t="s">
        <v>357</v>
      </c>
      <c r="AG56" s="145" t="s">
        <v>358</v>
      </c>
      <c r="AH56" s="112">
        <v>45320</v>
      </c>
      <c r="AI56" s="112">
        <v>45641</v>
      </c>
      <c r="AJ56" s="157"/>
      <c r="AK56" s="113"/>
      <c r="AL56" s="156"/>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row>
    <row r="57" spans="1:70" ht="18" customHeight="1" x14ac:dyDescent="0.25">
      <c r="A57" s="261"/>
      <c r="B57" s="294"/>
      <c r="C57" s="282"/>
      <c r="D57" s="285"/>
      <c r="E57" s="285"/>
      <c r="F57" s="288"/>
      <c r="G57" s="291"/>
      <c r="H57" s="252"/>
      <c r="I57" s="243"/>
      <c r="J57" s="234"/>
      <c r="K57" s="240"/>
      <c r="L57" s="214">
        <f ca="1">IF(NOT(ISERROR(MATCH(K57,_xlfn.ANCHORARRAY(F20),0))),J22&amp;"Por favor no seleccionar los criterios de impacto",K57)</f>
        <v>0</v>
      </c>
      <c r="M57" s="243"/>
      <c r="N57" s="234"/>
      <c r="O57" s="237"/>
      <c r="P57" s="155">
        <v>5</v>
      </c>
      <c r="Q57" s="158"/>
      <c r="R57" s="148"/>
      <c r="S57" s="115"/>
      <c r="T57" s="115"/>
      <c r="U57" s="149"/>
      <c r="V57" s="115"/>
      <c r="W57" s="115"/>
      <c r="X57" s="115"/>
      <c r="Y57" s="150"/>
      <c r="Z57" s="152"/>
      <c r="AA57" s="151"/>
      <c r="AB57" s="152"/>
      <c r="AC57" s="151"/>
      <c r="AD57" s="153"/>
      <c r="AE57" s="154"/>
      <c r="AF57" s="113"/>
      <c r="AG57" s="156"/>
      <c r="AH57" s="157"/>
      <c r="AI57" s="157"/>
      <c r="AJ57" s="157"/>
      <c r="AK57" s="113"/>
      <c r="AL57" s="156"/>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row>
    <row r="58" spans="1:70" ht="81.75" customHeight="1" x14ac:dyDescent="0.25">
      <c r="A58" s="262"/>
      <c r="B58" s="295"/>
      <c r="C58" s="283"/>
      <c r="D58" s="286"/>
      <c r="E58" s="286"/>
      <c r="F58" s="289"/>
      <c r="G58" s="292"/>
      <c r="H58" s="253"/>
      <c r="I58" s="244"/>
      <c r="J58" s="235"/>
      <c r="K58" s="241"/>
      <c r="L58" s="215">
        <f ca="1">IF(NOT(ISERROR(MATCH(K58,_xlfn.ANCHORARRAY(F21),0))),J59&amp;"Por favor no seleccionar los criterios de impacto",K58)</f>
        <v>0</v>
      </c>
      <c r="M58" s="244"/>
      <c r="N58" s="235"/>
      <c r="O58" s="238"/>
      <c r="P58" s="155">
        <v>6</v>
      </c>
      <c r="Q58" s="158"/>
      <c r="R58" s="148"/>
      <c r="S58" s="115"/>
      <c r="T58" s="115"/>
      <c r="U58" s="149"/>
      <c r="V58" s="115"/>
      <c r="W58" s="115"/>
      <c r="X58" s="115"/>
      <c r="Y58" s="150"/>
      <c r="Z58" s="152"/>
      <c r="AA58" s="151"/>
      <c r="AB58" s="152"/>
      <c r="AC58" s="151"/>
      <c r="AD58" s="153"/>
      <c r="AE58" s="154"/>
      <c r="AF58" s="113"/>
      <c r="AG58" s="156"/>
      <c r="AH58" s="157"/>
      <c r="AI58" s="157"/>
      <c r="AJ58" s="157"/>
      <c r="AK58" s="113"/>
      <c r="AL58" s="156"/>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row>
    <row r="59" spans="1:70" ht="94.5" x14ac:dyDescent="0.25">
      <c r="A59" s="260">
        <v>9</v>
      </c>
      <c r="B59" s="293" t="s">
        <v>383</v>
      </c>
      <c r="C59" s="254" t="s">
        <v>93</v>
      </c>
      <c r="D59" s="254" t="s">
        <v>384</v>
      </c>
      <c r="E59" s="254" t="s">
        <v>385</v>
      </c>
      <c r="F59" s="257" t="s">
        <v>386</v>
      </c>
      <c r="G59" s="254"/>
      <c r="H59" s="251">
        <v>1</v>
      </c>
      <c r="I59" s="242" t="str">
        <f>IF(H59&lt;=0,"",IF(H59&lt;=2,"Muy Baja",IF(H59&lt;=24,"Baja",IF(H59&lt;=500,"Media",IF(H59&lt;=5000,"Alta","Muy Alta")))))</f>
        <v>Muy Baja</v>
      </c>
      <c r="J59" s="233">
        <f>IF(I59="","",IF(I59="Muy Baja",0.2,IF(I59="Baja",0.4,IF(I59="Media",0.6,IF(I59="Alta",0.8,IF(I59="Muy Alta",1,))))))</f>
        <v>0.2</v>
      </c>
      <c r="K59" s="239" t="s">
        <v>156</v>
      </c>
      <c r="L59" s="233" t="str">
        <f>IF(NOT(ISERROR(MATCH(K59,'Tabla Impacto'!$B$225:$B$227,0))),'Tabla Impacto'!$G$227&amp;"Por favor no seleccionar los criterios de impacto(Afectación Económica o presupuestal y Pérdida Reputacional)",K59)</f>
        <v xml:space="preserve">     El riesgo afecta la imagen de alguna área de la organización</v>
      </c>
      <c r="M59" s="242" t="str">
        <f>IF(OR(L59='Tabla Impacto'!$C$15,L59='Tabla Impacto'!$E$15),"Leve",IF(OR(L59='Tabla Impacto'!$C$16,L59='Tabla Impacto'!$E$16),"Menor",IF(OR(L59='Tabla Impacto'!$C$17,L59='Tabla Impacto'!$E$17),"Moderado",IF(OR(L59='Tabla Impacto'!$C$18,L59='Tabla Impacto'!$E$18),"Mayor",IF(OR(L59='Tabla Impacto'!$C$19,L59='Tabla Impacto'!$E$19),"Catastrófico","")))))</f>
        <v>Leve</v>
      </c>
      <c r="N59" s="233">
        <f>IF(M59="","",IF(M59="Leve",0.2,IF(M59="Menor",0.4,IF(M59="Moderado",0.6,IF(M59="Mayor",0.8,IF(M59="Catastrófico",1,))))))</f>
        <v>0.2</v>
      </c>
      <c r="O59" s="236" t="str">
        <f>IF(OR(AND(I59="Muy Baja",M59="Leve"),AND(I59="Muy Baja",M59="Menor"),AND(I59="Baja",M59="Leve")),"Bajo",IF(OR(AND(I59="Muy baja",M59="Moderado"),AND(I59="Baja",M59="Menor"),AND(I59="Baja",M59="Moderado"),AND(I59="Media",M59="Leve"),AND(I59="Media",M59="Menor"),AND(I59="Media",M59="Moderado"),AND(I59="Alta",M59="Leve"),AND(I59="Alta",M59="Menor")),"Moderado",IF(OR(AND(I59="Muy Baja",M59="Mayor"),AND(I59="Baja",M59="Mayor"),AND(I59="Media",M59="Mayor"),AND(I59="Alta",M59="Moderado"),AND(I59="Alta",M59="Mayor"),AND(I59="Muy Alta",M59="Leve"),AND(I59="Muy Alta",M59="Menor"),AND(I59="Muy Alta",M59="Moderado"),AND(I59="Muy Alta",M59="Mayor")),"Alto",IF(OR(AND(I59="Muy Baja",M59="Catastrófico"),AND(I59="Baja",M59="Catastrófico"),AND(I59="Media",M59="Catastrófico"),AND(I59="Alta",M59="Catastrófico"),AND(I59="Muy Alta",M59="Catastrófico")),"Extremo",""))))</f>
        <v>Bajo</v>
      </c>
      <c r="P59" s="141">
        <v>1</v>
      </c>
      <c r="Q59" s="158" t="s">
        <v>387</v>
      </c>
      <c r="R59" s="161" t="s">
        <v>110</v>
      </c>
      <c r="S59" s="119" t="s">
        <v>100</v>
      </c>
      <c r="T59" s="119" t="s">
        <v>101</v>
      </c>
      <c r="U59" s="122" t="str">
        <f>IF(AND(S59="Preventivo",T59="Automático"),"50%",IF(AND(S59="Preventivo",T59="Manual"),"40%",IF(AND(S59="Detectivo",T59="Automático"),"40%",IF(AND(S59="Detectivo",T59="Manual"),"30%",IF(AND(S59="Correctivo",T59="Automático"),"35%",IF(AND(S59="Correctivo",T59="Manual"),"25%",""))))))</f>
        <v>40%</v>
      </c>
      <c r="V59" s="119" t="s">
        <v>102</v>
      </c>
      <c r="W59" s="119" t="s">
        <v>103</v>
      </c>
      <c r="X59" s="119" t="s">
        <v>104</v>
      </c>
      <c r="Y59" s="144">
        <f>IFERROR(IF(R59="Probabilidad",(J59-(+J59*U59)),IF(R59="Impacto",J59,"")),"")</f>
        <v>0.12</v>
      </c>
      <c r="Z59" s="118" t="str">
        <f>IFERROR(IF(Y59="","",IF(Y59&lt;=0.2,"Muy Baja",IF(Y59&lt;=0.4,"Baja",IF(Y59&lt;=0.6,"Media",IF(Y59&lt;=0.8,"Alta","Muy Alta"))))),"")</f>
        <v>Muy Baja</v>
      </c>
      <c r="AA59" s="122">
        <f>+Y59</f>
        <v>0.12</v>
      </c>
      <c r="AB59" s="118" t="str">
        <f>IFERROR(IF(AC59="","",IF(AC59&lt;=0.2,"Leve",IF(AC59&lt;=0.4,"Menor",IF(AC59&lt;=0.6,"Moderado",IF(AC59&lt;=0.8,"Mayor","Catastrófico"))))),"")</f>
        <v>Leve</v>
      </c>
      <c r="AC59" s="122">
        <f>IFERROR(IF(R59="Impacto",(N59-(+N59*U59)),IF(R59="Probabilidad",N59,"")),"")</f>
        <v>0.2</v>
      </c>
      <c r="AD59" s="127" t="str">
        <f>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Bajo</v>
      </c>
      <c r="AE59" s="119" t="s">
        <v>105</v>
      </c>
      <c r="AF59" s="145" t="s">
        <v>388</v>
      </c>
      <c r="AG59" s="145" t="s">
        <v>108</v>
      </c>
      <c r="AH59" s="112">
        <v>45320</v>
      </c>
      <c r="AI59" s="112">
        <v>45641</v>
      </c>
      <c r="AJ59" s="157"/>
      <c r="AK59" s="113"/>
      <c r="AL59" s="156"/>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row>
    <row r="60" spans="1:70" ht="18" customHeight="1" x14ac:dyDescent="0.25">
      <c r="A60" s="261"/>
      <c r="B60" s="294"/>
      <c r="C60" s="255"/>
      <c r="D60" s="255"/>
      <c r="E60" s="255"/>
      <c r="F60" s="258"/>
      <c r="G60" s="255"/>
      <c r="H60" s="252"/>
      <c r="I60" s="243"/>
      <c r="J60" s="234"/>
      <c r="K60" s="240"/>
      <c r="L60" s="234">
        <f ca="1">IF(NOT(ISERROR(MATCH(K60,_xlfn.ANCHORARRAY(F83),0))),J85&amp;"Por favor no seleccionar los criterios de impacto",K60)</f>
        <v>0</v>
      </c>
      <c r="M60" s="243"/>
      <c r="N60" s="234"/>
      <c r="O60" s="237"/>
      <c r="P60" s="155">
        <v>2</v>
      </c>
      <c r="Q60" s="158"/>
      <c r="R60" s="148" t="str">
        <f>IF(OR(S60="Preventivo",S60="Detectivo"),"Probabilidad",IF(S60="Correctivo","Impacto",""))</f>
        <v/>
      </c>
      <c r="S60" s="115"/>
      <c r="T60" s="115"/>
      <c r="U60" s="149" t="str">
        <f t="shared" ref="U60:U64" si="45">IF(AND(S60="Preventivo",T60="Automático"),"50%",IF(AND(S60="Preventivo",T60="Manual"),"40%",IF(AND(S60="Detectivo",T60="Automático"),"40%",IF(AND(S60="Detectivo",T60="Manual"),"30%",IF(AND(S60="Correctivo",T60="Automático"),"35%",IF(AND(S60="Correctivo",T60="Manual"),"25%",""))))))</f>
        <v/>
      </c>
      <c r="V60" s="115"/>
      <c r="W60" s="115"/>
      <c r="X60" s="115"/>
      <c r="Y60" s="150" t="str">
        <f>IFERROR(IF(AND(R59="Probabilidad",R60="Probabilidad"),(AA59-(+AA59*U60)),IF(R60="Probabilidad",(J59-(+J59*U60)),IF(R60="Impacto",AA59,""))),"")</f>
        <v/>
      </c>
      <c r="Z60" s="152" t="str">
        <f t="shared" ref="Z60:Z70" si="46">IFERROR(IF(Y60="","",IF(Y60&lt;=0.2,"Muy Baja",IF(Y60&lt;=0.4,"Baja",IF(Y60&lt;=0.6,"Media",IF(Y60&lt;=0.8,"Alta","Muy Alta"))))),"")</f>
        <v/>
      </c>
      <c r="AA60" s="151" t="str">
        <f t="shared" ref="AA60:AA64" si="47">+Y60</f>
        <v/>
      </c>
      <c r="AB60" s="152" t="str">
        <f t="shared" ref="AB60:AB70" si="48">IFERROR(IF(AC60="","",IF(AC60&lt;=0.2,"Leve",IF(AC60&lt;=0.4,"Menor",IF(AC60&lt;=0.6,"Moderado",IF(AC60&lt;=0.8,"Mayor","Catastrófico"))))),"")</f>
        <v/>
      </c>
      <c r="AC60" s="151" t="str">
        <f>IFERROR(IF(AND(R59="Impacto",R60="Impacto"),(AC59-(+AC59*U60)),IF(R60="Impacto",(N59-(+N59*U60)),IF(R60="Probabilidad",AC59,""))),"")</f>
        <v/>
      </c>
      <c r="AD60" s="153" t="str">
        <f t="shared" ref="AD60:AD61" si="49">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154"/>
      <c r="AF60" s="113"/>
      <c r="AG60" s="156"/>
      <c r="AH60" s="157"/>
      <c r="AI60" s="157"/>
      <c r="AJ60" s="157"/>
      <c r="AK60" s="113"/>
      <c r="AL60" s="156"/>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row>
    <row r="61" spans="1:70" ht="18" customHeight="1" x14ac:dyDescent="0.25">
      <c r="A61" s="261"/>
      <c r="B61" s="294"/>
      <c r="C61" s="255"/>
      <c r="D61" s="255"/>
      <c r="E61" s="255"/>
      <c r="F61" s="258"/>
      <c r="G61" s="255"/>
      <c r="H61" s="252"/>
      <c r="I61" s="243"/>
      <c r="J61" s="234"/>
      <c r="K61" s="240"/>
      <c r="L61" s="234">
        <f ca="1">IF(NOT(ISERROR(MATCH(K61,_xlfn.ANCHORARRAY(F84),0))),J86&amp;"Por favor no seleccionar los criterios de impacto",K61)</f>
        <v>0</v>
      </c>
      <c r="M61" s="243"/>
      <c r="N61" s="234"/>
      <c r="O61" s="237"/>
      <c r="P61" s="155">
        <v>3</v>
      </c>
      <c r="Q61" s="147"/>
      <c r="R61" s="148" t="str">
        <f>IF(OR(S61="Preventivo",S61="Detectivo"),"Probabilidad",IF(S61="Correctivo","Impacto",""))</f>
        <v/>
      </c>
      <c r="S61" s="115"/>
      <c r="T61" s="115"/>
      <c r="U61" s="149" t="str">
        <f t="shared" si="45"/>
        <v/>
      </c>
      <c r="V61" s="115"/>
      <c r="W61" s="115"/>
      <c r="X61" s="115"/>
      <c r="Y61" s="150" t="str">
        <f>IFERROR(IF(AND(R60="Probabilidad",R61="Probabilidad"),(AA60-(+AA60*U61)),IF(AND(R60="Impacto",R61="Probabilidad"),(AA59-(+AA59*U61)),IF(R61="Impacto",AA60,""))),"")</f>
        <v/>
      </c>
      <c r="Z61" s="152" t="str">
        <f t="shared" si="46"/>
        <v/>
      </c>
      <c r="AA61" s="151" t="str">
        <f t="shared" si="47"/>
        <v/>
      </c>
      <c r="AB61" s="152" t="str">
        <f t="shared" si="48"/>
        <v/>
      </c>
      <c r="AC61" s="151" t="str">
        <f>IFERROR(IF(AND(R60="Impacto",R61="Impacto"),(AC60-(+AC60*U61)),IF(AND(R60="Probabilidad",R61="Impacto"),(AC59-(+AC59*U61)),IF(R61="Probabilidad",AC60,""))),"")</f>
        <v/>
      </c>
      <c r="AD61" s="153" t="str">
        <f t="shared" si="49"/>
        <v/>
      </c>
      <c r="AE61" s="154"/>
      <c r="AF61" s="113"/>
      <c r="AG61" s="156"/>
      <c r="AH61" s="157"/>
      <c r="AI61" s="157"/>
      <c r="AJ61" s="157"/>
      <c r="AK61" s="113"/>
      <c r="AL61" s="156"/>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row>
    <row r="62" spans="1:70" ht="18" customHeight="1" x14ac:dyDescent="0.25">
      <c r="A62" s="261"/>
      <c r="B62" s="294"/>
      <c r="C62" s="255"/>
      <c r="D62" s="255"/>
      <c r="E62" s="255"/>
      <c r="F62" s="258"/>
      <c r="G62" s="255"/>
      <c r="H62" s="252"/>
      <c r="I62" s="243"/>
      <c r="J62" s="234"/>
      <c r="K62" s="240"/>
      <c r="L62" s="234">
        <f ca="1">IF(NOT(ISERROR(MATCH(K62,_xlfn.ANCHORARRAY(F85),0))),J87&amp;"Por favor no seleccionar los criterios de impacto",K62)</f>
        <v>0</v>
      </c>
      <c r="M62" s="243"/>
      <c r="N62" s="234"/>
      <c r="O62" s="237"/>
      <c r="P62" s="155">
        <v>4</v>
      </c>
      <c r="Q62" s="158"/>
      <c r="R62" s="148" t="str">
        <f t="shared" ref="R62:R64" si="50">IF(OR(S62="Preventivo",S62="Detectivo"),"Probabilidad",IF(S62="Correctivo","Impacto",""))</f>
        <v/>
      </c>
      <c r="S62" s="115"/>
      <c r="T62" s="115"/>
      <c r="U62" s="149" t="str">
        <f t="shared" si="45"/>
        <v/>
      </c>
      <c r="V62" s="115"/>
      <c r="W62" s="115"/>
      <c r="X62" s="115"/>
      <c r="Y62" s="150" t="str">
        <f t="shared" ref="Y62:Y63" si="51">IFERROR(IF(AND(R61="Probabilidad",R62="Probabilidad"),(AA61-(+AA61*U62)),IF(AND(R61="Impacto",R62="Probabilidad"),(AA60-(+AA60*U62)),IF(R62="Impacto",AA61,""))),"")</f>
        <v/>
      </c>
      <c r="Z62" s="152" t="str">
        <f t="shared" si="46"/>
        <v/>
      </c>
      <c r="AA62" s="151" t="str">
        <f t="shared" si="47"/>
        <v/>
      </c>
      <c r="AB62" s="152" t="str">
        <f t="shared" si="48"/>
        <v/>
      </c>
      <c r="AC62" s="151" t="str">
        <f t="shared" ref="AC62:AC63" si="52">IFERROR(IF(AND(R61="Impacto",R62="Impacto"),(AC61-(+AC61*U62)),IF(AND(R61="Probabilidad",R62="Impacto"),(AC60-(+AC60*U62)),IF(R62="Probabilidad",AC61,""))),"")</f>
        <v/>
      </c>
      <c r="AD62" s="153" t="str">
        <f>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54"/>
      <c r="AF62" s="113"/>
      <c r="AG62" s="156"/>
      <c r="AH62" s="157"/>
      <c r="AI62" s="157"/>
      <c r="AJ62" s="157"/>
      <c r="AK62" s="113"/>
      <c r="AL62" s="156"/>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row>
    <row r="63" spans="1:70" ht="18" customHeight="1" x14ac:dyDescent="0.25">
      <c r="A63" s="261"/>
      <c r="B63" s="294"/>
      <c r="C63" s="255"/>
      <c r="D63" s="255"/>
      <c r="E63" s="255"/>
      <c r="F63" s="258"/>
      <c r="G63" s="255"/>
      <c r="H63" s="252"/>
      <c r="I63" s="243"/>
      <c r="J63" s="234"/>
      <c r="K63" s="240"/>
      <c r="L63" s="234">
        <f ca="1">IF(NOT(ISERROR(MATCH(K63,_xlfn.ANCHORARRAY(F86),0))),J88&amp;"Por favor no seleccionar los criterios de impacto",K63)</f>
        <v>0</v>
      </c>
      <c r="M63" s="243"/>
      <c r="N63" s="234"/>
      <c r="O63" s="237"/>
      <c r="P63" s="155">
        <v>5</v>
      </c>
      <c r="Q63" s="158"/>
      <c r="R63" s="148" t="str">
        <f t="shared" si="50"/>
        <v/>
      </c>
      <c r="S63" s="115"/>
      <c r="T63" s="115"/>
      <c r="U63" s="149" t="str">
        <f t="shared" si="45"/>
        <v/>
      </c>
      <c r="V63" s="115"/>
      <c r="W63" s="115"/>
      <c r="X63" s="115"/>
      <c r="Y63" s="150" t="str">
        <f t="shared" si="51"/>
        <v/>
      </c>
      <c r="Z63" s="152" t="str">
        <f t="shared" si="46"/>
        <v/>
      </c>
      <c r="AA63" s="151" t="str">
        <f t="shared" si="47"/>
        <v/>
      </c>
      <c r="AB63" s="152" t="str">
        <f t="shared" si="48"/>
        <v/>
      </c>
      <c r="AC63" s="151" t="str">
        <f t="shared" si="52"/>
        <v/>
      </c>
      <c r="AD63" s="153" t="str">
        <f t="shared" ref="AD63:AD64" si="53">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154"/>
      <c r="AF63" s="113"/>
      <c r="AG63" s="156"/>
      <c r="AH63" s="157"/>
      <c r="AI63" s="157"/>
      <c r="AJ63" s="157"/>
      <c r="AK63" s="113"/>
      <c r="AL63" s="156"/>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row>
    <row r="64" spans="1:70" ht="18" customHeight="1" x14ac:dyDescent="0.25">
      <c r="A64" s="262"/>
      <c r="B64" s="295"/>
      <c r="C64" s="256"/>
      <c r="D64" s="256"/>
      <c r="E64" s="256"/>
      <c r="F64" s="259"/>
      <c r="G64" s="256"/>
      <c r="H64" s="253"/>
      <c r="I64" s="244"/>
      <c r="J64" s="235"/>
      <c r="K64" s="241"/>
      <c r="L64" s="235">
        <f ca="1">IF(NOT(ISERROR(MATCH(K64,_xlfn.ANCHORARRAY(F87),0))),J89&amp;"Por favor no seleccionar los criterios de impacto",K64)</f>
        <v>0</v>
      </c>
      <c r="M64" s="244"/>
      <c r="N64" s="235"/>
      <c r="O64" s="238"/>
      <c r="P64" s="155">
        <v>6</v>
      </c>
      <c r="Q64" s="158"/>
      <c r="R64" s="148" t="str">
        <f t="shared" si="50"/>
        <v/>
      </c>
      <c r="S64" s="115"/>
      <c r="T64" s="115"/>
      <c r="U64" s="149" t="str">
        <f t="shared" si="45"/>
        <v/>
      </c>
      <c r="V64" s="115"/>
      <c r="W64" s="115"/>
      <c r="X64" s="115"/>
      <c r="Y64" s="150" t="str">
        <f>IFERROR(IF(AND(R63="Probabilidad",R64="Probabilidad"),(AA63-(+AA63*U64)),IF(AND(R63="Impacto",R64="Probabilidad"),(AA62-(+AA62*U64)),IF(R64="Impacto",AA63,""))),"")</f>
        <v/>
      </c>
      <c r="Z64" s="152" t="str">
        <f t="shared" si="46"/>
        <v/>
      </c>
      <c r="AA64" s="151" t="str">
        <f t="shared" si="47"/>
        <v/>
      </c>
      <c r="AB64" s="152" t="str">
        <f t="shared" si="48"/>
        <v/>
      </c>
      <c r="AC64" s="151" t="str">
        <f>IFERROR(IF(AND(R63="Impacto",R64="Impacto"),(AC63-(+AC63*U64)),IF(AND(R63="Probabilidad",R64="Impacto"),(AC62-(+AC62*U64)),IF(R64="Probabilidad",AC63,""))),"")</f>
        <v/>
      </c>
      <c r="AD64" s="153" t="str">
        <f t="shared" si="53"/>
        <v/>
      </c>
      <c r="AE64" s="154"/>
      <c r="AF64" s="113"/>
      <c r="AG64" s="156"/>
      <c r="AH64" s="157"/>
      <c r="AI64" s="157"/>
      <c r="AJ64" s="157"/>
      <c r="AK64" s="113"/>
      <c r="AL64" s="156"/>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row>
    <row r="65" spans="1:70" ht="18" hidden="1" customHeight="1" x14ac:dyDescent="0.25">
      <c r="A65" s="260"/>
      <c r="B65" s="140"/>
      <c r="C65" s="272"/>
      <c r="D65" s="272"/>
      <c r="E65" s="272"/>
      <c r="F65" s="275"/>
      <c r="G65" s="272"/>
      <c r="H65" s="299"/>
      <c r="I65" s="216" t="str">
        <f>IF(H65&lt;=0,"",IF(H65&lt;=2,"Muy Baja",IF(H65&lt;=24,"Baja",IF(H65&lt;=500,"Media",IF(H65&lt;=5000,"Alta","Muy Alta")))))</f>
        <v/>
      </c>
      <c r="J65" s="213" t="str">
        <f>IF(I65="","",IF(I65="Muy Baja",0.2,IF(I65="Baja",0.4,IF(I65="Media",0.6,IF(I65="Alta",0.8,IF(I65="Muy Alta",1,))))))</f>
        <v/>
      </c>
      <c r="K65" s="210"/>
      <c r="L65" s="213">
        <f>IF(NOT(ISERROR(MATCH(K65,'Tabla Impacto'!$B$225:$B$227,0))),'Tabla Impacto'!$G$227&amp;"Por favor no seleccionar los criterios de impacto(Afectación Económica o presupuestal y Pérdida Reputacional)",K65)</f>
        <v>0</v>
      </c>
      <c r="M65" s="216" t="str">
        <f>IF(OR(L65='Tabla Impacto'!$C$15,L65='Tabla Impacto'!$E$15),"Leve",IF(OR(L65='Tabla Impacto'!$C$16,L65='Tabla Impacto'!$E$16),"Menor",IF(OR(L65='Tabla Impacto'!$C$17,L65='Tabla Impacto'!$E$17),"Moderado",IF(OR(L65='Tabla Impacto'!$C$18,L65='Tabla Impacto'!$E$18),"Mayor",IF(OR(L65='Tabla Impacto'!$C$19,L65='Tabla Impacto'!$E$19),"Catastrófico","")))))</f>
        <v/>
      </c>
      <c r="N65" s="213" t="str">
        <f>IF(M65="","",IF(M65="Leve",0.2,IF(M65="Menor",0.4,IF(M65="Moderado",0.6,IF(M65="Mayor",0.8,IF(M65="Catastrófico",1,))))))</f>
        <v/>
      </c>
      <c r="O65" s="219" t="str">
        <f>IF(OR(AND(I65="Muy Baja",M65="Leve"),AND(I65="Muy Baja",M65="Menor"),AND(I65="Baja",M65="Leve")),"Bajo",IF(OR(AND(I65="Muy baja",M65="Moderado"),AND(I65="Baja",M65="Menor"),AND(I65="Baja",M65="Moderado"),AND(I65="Media",M65="Leve"),AND(I65="Media",M65="Menor"),AND(I65="Media",M65="Moderado"),AND(I65="Alta",M65="Leve"),AND(I65="Alta",M65="Menor")),"Moderado",IF(OR(AND(I65="Muy Baja",M65="Mayor"),AND(I65="Baja",M65="Mayor"),AND(I65="Media",M65="Mayor"),AND(I65="Alta",M65="Moderado"),AND(I65="Alta",M65="Mayor"),AND(I65="Muy Alta",M65="Leve"),AND(I65="Muy Alta",M65="Menor"),AND(I65="Muy Alta",M65="Moderado"),AND(I65="Muy Alta",M65="Mayor")),"Alto",IF(OR(AND(I65="Muy Baja",M65="Catastrófico"),AND(I65="Baja",M65="Catastrófico"),AND(I65="Media",M65="Catastrófico"),AND(I65="Alta",M65="Catastrófico"),AND(I65="Muy Alta",M65="Catastrófico")),"Extremo",""))))</f>
        <v/>
      </c>
      <c r="P65" s="155">
        <v>1</v>
      </c>
      <c r="Q65" s="158"/>
      <c r="R65" s="161"/>
      <c r="S65" s="162"/>
      <c r="T65" s="162"/>
      <c r="U65" s="163" t="str">
        <f>IF(AND(S65="Preventivo",T65="Automático"),"50%",IF(AND(S65="Preventivo",T65="Manual"),"40%",IF(AND(S65="Detectivo",T65="Automático"),"40%",IF(AND(S65="Detectivo",T65="Manual"),"30%",IF(AND(S65="Correctivo",T65="Automático"),"35%",IF(AND(S65="Correctivo",T65="Manual"),"25%",""))))))</f>
        <v/>
      </c>
      <c r="V65" s="162"/>
      <c r="W65" s="162"/>
      <c r="X65" s="162"/>
      <c r="Y65" s="144" t="str">
        <f>IFERROR(IF(R65="Probabilidad",(J65-(+J65*U65)),IF(R65="Impacto",J65,"")),"")</f>
        <v/>
      </c>
      <c r="Z65" s="164" t="str">
        <f t="shared" si="46"/>
        <v/>
      </c>
      <c r="AA65" s="122" t="str">
        <f>+Y65</f>
        <v/>
      </c>
      <c r="AB65" s="164" t="str">
        <f t="shared" si="48"/>
        <v/>
      </c>
      <c r="AC65" s="122" t="str">
        <f>IFERROR(IF(R65="Impacto",(N65-(+N65*U65)),IF(R65="Probabilidad",N65,"")),"")</f>
        <v/>
      </c>
      <c r="AD65" s="165" t="str">
        <f>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19"/>
      <c r="AF65" s="113"/>
      <c r="AG65" s="156"/>
      <c r="AH65" s="157"/>
      <c r="AI65" s="157"/>
      <c r="AJ65" s="157"/>
      <c r="AK65" s="113"/>
      <c r="AL65" s="156"/>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row>
    <row r="66" spans="1:70" ht="18" hidden="1" customHeight="1" x14ac:dyDescent="0.25">
      <c r="A66" s="261"/>
      <c r="B66" s="146"/>
      <c r="C66" s="273"/>
      <c r="D66" s="273"/>
      <c r="E66" s="273"/>
      <c r="F66" s="276"/>
      <c r="G66" s="273"/>
      <c r="H66" s="300"/>
      <c r="I66" s="217"/>
      <c r="J66" s="214"/>
      <c r="K66" s="211"/>
      <c r="L66" s="214">
        <f ca="1">IF(NOT(ISERROR(MATCH(K66,_xlfn.ANCHORARRAY(F89),0))),J91&amp;"Por favor no seleccionar los criterios de impacto",K66)</f>
        <v>0</v>
      </c>
      <c r="M66" s="217"/>
      <c r="N66" s="214"/>
      <c r="O66" s="220"/>
      <c r="P66" s="155">
        <v>2</v>
      </c>
      <c r="Q66" s="158"/>
      <c r="R66" s="148" t="str">
        <f>IF(OR(S66="Preventivo",S66="Detectivo"),"Probabilidad",IF(S66="Correctivo","Impacto",""))</f>
        <v/>
      </c>
      <c r="S66" s="115"/>
      <c r="T66" s="115"/>
      <c r="U66" s="149" t="str">
        <f t="shared" ref="U66:U70" si="54">IF(AND(S66="Preventivo",T66="Automático"),"50%",IF(AND(S66="Preventivo",T66="Manual"),"40%",IF(AND(S66="Detectivo",T66="Automático"),"40%",IF(AND(S66="Detectivo",T66="Manual"),"30%",IF(AND(S66="Correctivo",T66="Automático"),"35%",IF(AND(S66="Correctivo",T66="Manual"),"25%",""))))))</f>
        <v/>
      </c>
      <c r="V66" s="115"/>
      <c r="W66" s="115"/>
      <c r="X66" s="115"/>
      <c r="Y66" s="150" t="str">
        <f>IFERROR(IF(AND(R65="Probabilidad",R66="Probabilidad"),(AA65-(+AA65*U66)),IF(R66="Probabilidad",(J65-(+J65*U66)),IF(R66="Impacto",AA65,""))),"")</f>
        <v/>
      </c>
      <c r="Z66" s="152" t="str">
        <f t="shared" si="46"/>
        <v/>
      </c>
      <c r="AA66" s="151" t="str">
        <f t="shared" ref="AA66:AA70" si="55">+Y66</f>
        <v/>
      </c>
      <c r="AB66" s="152" t="str">
        <f t="shared" si="48"/>
        <v/>
      </c>
      <c r="AC66" s="151" t="str">
        <f>IFERROR(IF(AND(R65="Impacto",R66="Impacto"),(AC65-(+AC65*U66)),IF(R66="Impacto",(N65-(+N65*U66)),IF(R66="Probabilidad",AC65,""))),"")</f>
        <v/>
      </c>
      <c r="AD66" s="153" t="str">
        <f t="shared" ref="AD66:AD67" si="56">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154"/>
      <c r="AF66" s="113"/>
      <c r="AG66" s="156"/>
      <c r="AH66" s="157"/>
      <c r="AI66" s="157"/>
      <c r="AJ66" s="157"/>
      <c r="AK66" s="113"/>
      <c r="AL66" s="156"/>
    </row>
    <row r="67" spans="1:70" ht="18" hidden="1" customHeight="1" x14ac:dyDescent="0.25">
      <c r="A67" s="261"/>
      <c r="B67" s="146"/>
      <c r="C67" s="273"/>
      <c r="D67" s="273"/>
      <c r="E67" s="273"/>
      <c r="F67" s="276"/>
      <c r="G67" s="273"/>
      <c r="H67" s="300"/>
      <c r="I67" s="217"/>
      <c r="J67" s="214"/>
      <c r="K67" s="211"/>
      <c r="L67" s="214">
        <f ca="1">IF(NOT(ISERROR(MATCH(K67,_xlfn.ANCHORARRAY(F90),0))),J92&amp;"Por favor no seleccionar los criterios de impacto",K67)</f>
        <v>0</v>
      </c>
      <c r="M67" s="217"/>
      <c r="N67" s="214"/>
      <c r="O67" s="220"/>
      <c r="P67" s="155">
        <v>3</v>
      </c>
      <c r="Q67" s="147"/>
      <c r="R67" s="148" t="str">
        <f>IF(OR(S67="Preventivo",S67="Detectivo"),"Probabilidad",IF(S67="Correctivo","Impacto",""))</f>
        <v/>
      </c>
      <c r="S67" s="115"/>
      <c r="T67" s="115"/>
      <c r="U67" s="149" t="str">
        <f t="shared" si="54"/>
        <v/>
      </c>
      <c r="V67" s="115"/>
      <c r="W67" s="115"/>
      <c r="X67" s="115"/>
      <c r="Y67" s="150" t="str">
        <f>IFERROR(IF(AND(R66="Probabilidad",R67="Probabilidad"),(AA66-(+AA66*U67)),IF(AND(R66="Impacto",R67="Probabilidad"),(AA65-(+AA65*U67)),IF(R67="Impacto",AA66,""))),"")</f>
        <v/>
      </c>
      <c r="Z67" s="152" t="str">
        <f t="shared" si="46"/>
        <v/>
      </c>
      <c r="AA67" s="151" t="str">
        <f t="shared" si="55"/>
        <v/>
      </c>
      <c r="AB67" s="152" t="str">
        <f t="shared" si="48"/>
        <v/>
      </c>
      <c r="AC67" s="151" t="str">
        <f>IFERROR(IF(AND(R66="Impacto",R67="Impacto"),(AC66-(+AC66*U67)),IF(AND(R66="Probabilidad",R67="Impacto"),(AC65-(+AC65*U67)),IF(R67="Probabilidad",AC66,""))),"")</f>
        <v/>
      </c>
      <c r="AD67" s="153" t="str">
        <f t="shared" si="56"/>
        <v/>
      </c>
      <c r="AE67" s="154"/>
      <c r="AF67" s="113"/>
      <c r="AG67" s="156"/>
      <c r="AH67" s="157"/>
      <c r="AI67" s="157"/>
      <c r="AJ67" s="157"/>
      <c r="AK67" s="113"/>
      <c r="AL67" s="156"/>
    </row>
    <row r="68" spans="1:70" ht="18" hidden="1" customHeight="1" x14ac:dyDescent="0.25">
      <c r="A68" s="261"/>
      <c r="B68" s="146"/>
      <c r="C68" s="273"/>
      <c r="D68" s="273"/>
      <c r="E68" s="273"/>
      <c r="F68" s="276"/>
      <c r="G68" s="273"/>
      <c r="H68" s="300"/>
      <c r="I68" s="217"/>
      <c r="J68" s="214"/>
      <c r="K68" s="211"/>
      <c r="L68" s="214">
        <f ca="1">IF(NOT(ISERROR(MATCH(K68,_xlfn.ANCHORARRAY(F91),0))),J93&amp;"Por favor no seleccionar los criterios de impacto",K68)</f>
        <v>0</v>
      </c>
      <c r="M68" s="217"/>
      <c r="N68" s="214"/>
      <c r="O68" s="220"/>
      <c r="P68" s="155">
        <v>4</v>
      </c>
      <c r="Q68" s="158"/>
      <c r="R68" s="148" t="str">
        <f t="shared" ref="R68:R70" si="57">IF(OR(S68="Preventivo",S68="Detectivo"),"Probabilidad",IF(S68="Correctivo","Impacto",""))</f>
        <v/>
      </c>
      <c r="S68" s="115"/>
      <c r="T68" s="115"/>
      <c r="U68" s="149" t="str">
        <f t="shared" si="54"/>
        <v/>
      </c>
      <c r="V68" s="115"/>
      <c r="W68" s="115"/>
      <c r="X68" s="115"/>
      <c r="Y68" s="150" t="str">
        <f t="shared" ref="Y68:Y69" si="58">IFERROR(IF(AND(R67="Probabilidad",R68="Probabilidad"),(AA67-(+AA67*U68)),IF(AND(R67="Impacto",R68="Probabilidad"),(AA66-(+AA66*U68)),IF(R68="Impacto",AA67,""))),"")</f>
        <v/>
      </c>
      <c r="Z68" s="152" t="str">
        <f t="shared" si="46"/>
        <v/>
      </c>
      <c r="AA68" s="151" t="str">
        <f t="shared" si="55"/>
        <v/>
      </c>
      <c r="AB68" s="152" t="str">
        <f t="shared" si="48"/>
        <v/>
      </c>
      <c r="AC68" s="151" t="str">
        <f t="shared" ref="AC68:AC69" si="59">IFERROR(IF(AND(R67="Impacto",R68="Impacto"),(AC67-(+AC67*U68)),IF(AND(R67="Probabilidad",R68="Impacto"),(AC66-(+AC66*U68)),IF(R68="Probabilidad",AC67,""))),"")</f>
        <v/>
      </c>
      <c r="AD68" s="153" t="str">
        <f>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54"/>
      <c r="AF68" s="113"/>
      <c r="AG68" s="156"/>
      <c r="AH68" s="157"/>
      <c r="AI68" s="157"/>
      <c r="AJ68" s="157"/>
      <c r="AK68" s="113"/>
      <c r="AL68" s="156"/>
    </row>
    <row r="69" spans="1:70" ht="18" hidden="1" customHeight="1" x14ac:dyDescent="0.25">
      <c r="A69" s="261"/>
      <c r="B69" s="146"/>
      <c r="C69" s="273"/>
      <c r="D69" s="273"/>
      <c r="E69" s="273"/>
      <c r="F69" s="276"/>
      <c r="G69" s="273"/>
      <c r="H69" s="300"/>
      <c r="I69" s="217"/>
      <c r="J69" s="214"/>
      <c r="K69" s="211"/>
      <c r="L69" s="214">
        <f ca="1">IF(NOT(ISERROR(MATCH(K69,_xlfn.ANCHORARRAY(F92),0))),J94&amp;"Por favor no seleccionar los criterios de impacto",K69)</f>
        <v>0</v>
      </c>
      <c r="M69" s="217"/>
      <c r="N69" s="214"/>
      <c r="O69" s="220"/>
      <c r="P69" s="155">
        <v>5</v>
      </c>
      <c r="Q69" s="158"/>
      <c r="R69" s="148" t="str">
        <f t="shared" si="57"/>
        <v/>
      </c>
      <c r="S69" s="115"/>
      <c r="T69" s="115"/>
      <c r="U69" s="149" t="str">
        <f t="shared" si="54"/>
        <v/>
      </c>
      <c r="V69" s="115"/>
      <c r="W69" s="115"/>
      <c r="X69" s="115"/>
      <c r="Y69" s="150" t="str">
        <f t="shared" si="58"/>
        <v/>
      </c>
      <c r="Z69" s="152" t="str">
        <f t="shared" si="46"/>
        <v/>
      </c>
      <c r="AA69" s="151" t="str">
        <f t="shared" si="55"/>
        <v/>
      </c>
      <c r="AB69" s="152" t="str">
        <f t="shared" si="48"/>
        <v/>
      </c>
      <c r="AC69" s="151" t="str">
        <f t="shared" si="59"/>
        <v/>
      </c>
      <c r="AD69" s="153" t="str">
        <f t="shared" ref="AD69:AD70" si="60">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
      </c>
      <c r="AE69" s="154"/>
      <c r="AF69" s="113"/>
      <c r="AG69" s="156"/>
      <c r="AH69" s="157"/>
      <c r="AI69" s="157"/>
      <c r="AJ69" s="157"/>
      <c r="AK69" s="113"/>
      <c r="AL69" s="156"/>
    </row>
    <row r="70" spans="1:70" ht="18" hidden="1" customHeight="1" x14ac:dyDescent="0.25">
      <c r="A70" s="262"/>
      <c r="B70" s="159"/>
      <c r="C70" s="274"/>
      <c r="D70" s="274"/>
      <c r="E70" s="274"/>
      <c r="F70" s="277"/>
      <c r="G70" s="274"/>
      <c r="H70" s="301"/>
      <c r="I70" s="218"/>
      <c r="J70" s="215"/>
      <c r="K70" s="212"/>
      <c r="L70" s="215">
        <f ca="1">IF(NOT(ISERROR(MATCH(K70,_xlfn.ANCHORARRAY(F93),0))),J95&amp;"Por favor no seleccionar los criterios de impacto",K70)</f>
        <v>0</v>
      </c>
      <c r="M70" s="218"/>
      <c r="N70" s="215"/>
      <c r="O70" s="221"/>
      <c r="P70" s="155">
        <v>6</v>
      </c>
      <c r="Q70" s="158"/>
      <c r="R70" s="148" t="str">
        <f t="shared" si="57"/>
        <v/>
      </c>
      <c r="S70" s="115"/>
      <c r="T70" s="115"/>
      <c r="U70" s="149" t="str">
        <f t="shared" si="54"/>
        <v/>
      </c>
      <c r="V70" s="115"/>
      <c r="W70" s="115"/>
      <c r="X70" s="115"/>
      <c r="Y70" s="150" t="str">
        <f>IFERROR(IF(AND(R69="Probabilidad",R70="Probabilidad"),(AA69-(+AA69*U70)),IF(AND(R69="Impacto",R70="Probabilidad"),(AA68-(+AA68*U70)),IF(R70="Impacto",AA69,""))),"")</f>
        <v/>
      </c>
      <c r="Z70" s="152" t="str">
        <f t="shared" si="46"/>
        <v/>
      </c>
      <c r="AA70" s="151" t="str">
        <f t="shared" si="55"/>
        <v/>
      </c>
      <c r="AB70" s="152" t="str">
        <f t="shared" si="48"/>
        <v/>
      </c>
      <c r="AC70" s="151" t="str">
        <f>IFERROR(IF(AND(R69="Impacto",R70="Impacto"),(AC69-(+AC69*U70)),IF(AND(R69="Probabilidad",R70="Impacto"),(AC68-(+AC68*U70)),IF(R70="Probabilidad",AC69,""))),"")</f>
        <v/>
      </c>
      <c r="AD70" s="153" t="str">
        <f t="shared" si="60"/>
        <v/>
      </c>
      <c r="AE70" s="154"/>
      <c r="AF70" s="113"/>
      <c r="AG70" s="156"/>
      <c r="AH70" s="157"/>
      <c r="AI70" s="157"/>
      <c r="AJ70" s="157"/>
      <c r="AK70" s="113"/>
      <c r="AL70" s="156"/>
    </row>
    <row r="71" spans="1:70" ht="48.75" hidden="1" customHeight="1" x14ac:dyDescent="0.25">
      <c r="A71" s="260"/>
      <c r="B71" s="140"/>
      <c r="C71" s="254"/>
      <c r="D71" s="254"/>
      <c r="E71" s="254"/>
      <c r="F71" s="257"/>
      <c r="G71" s="254"/>
      <c r="H71" s="251"/>
      <c r="I71" s="242" t="str">
        <f>IF(H71&lt;=0,"",IF(H71&lt;=2,"Muy Baja",IF(H71&lt;=24,"Baja",IF(H71&lt;=500,"Media",IF(H71&lt;=5000,"Alta","Muy Alta")))))</f>
        <v/>
      </c>
      <c r="J71" s="233" t="str">
        <f>IF(I71="","",IF(I71="Muy Baja",0.2,IF(I71="Baja",0.4,IF(I71="Media",0.6,IF(I71="Alta",0.8,IF(I71="Muy Alta",1,))))))</f>
        <v/>
      </c>
      <c r="K71" s="239"/>
      <c r="L71" s="233">
        <f>IF(NOT(ISERROR(MATCH(K71,'Tabla Impacto'!$B$225:$B$227,0))),'Tabla Impacto'!$G$227&amp;"Por favor no seleccionar los criterios de impacto(Afectación Económica o presupuestal y Pérdida Reputacional)",K71)</f>
        <v>0</v>
      </c>
      <c r="M71" s="242" t="str">
        <f>IF(OR(L71='Tabla Impacto'!$C$15,L71='Tabla Impacto'!$E$15),"Leve",IF(OR(L71='Tabla Impacto'!$C$16,L71='Tabla Impacto'!$E$16),"Menor",IF(OR(L71='Tabla Impacto'!$C$17,L71='Tabla Impacto'!$E$17),"Moderado",IF(OR(L71='Tabla Impacto'!$C$18,L71='Tabla Impacto'!$E$18),"Mayor",IF(OR(L71='Tabla Impacto'!$C$19,L71='Tabla Impacto'!$E$19),"Catastrófico","")))))</f>
        <v/>
      </c>
      <c r="N71" s="233" t="str">
        <f>IF(M71="","",IF(M71="Leve",0.2,IF(M71="Menor",0.4,IF(M71="Moderado",0.6,IF(M71="Mayor",0.8,IF(M71="Catastrófico",1,))))))</f>
        <v/>
      </c>
      <c r="O71" s="236" t="str">
        <f>IF(OR(AND(I71="Muy Baja",M71="Leve"),AND(I71="Muy Baja",M71="Menor"),AND(I71="Baja",M71="Leve")),"Bajo",IF(OR(AND(I71="Muy baja",M71="Moderado"),AND(I71="Baja",M71="Menor"),AND(I71="Baja",M71="Moderado"),AND(I71="Media",M71="Leve"),AND(I71="Media",M71="Menor"),AND(I71="Media",M71="Moderado"),AND(I71="Alta",M71="Leve"),AND(I71="Alta",M71="Menor")),"Moderado",IF(OR(AND(I71="Muy Baja",M71="Mayor"),AND(I71="Baja",M71="Mayor"),AND(I71="Media",M71="Mayor"),AND(I71="Alta",M71="Moderado"),AND(I71="Alta",M71="Mayor"),AND(I71="Muy Alta",M71="Leve"),AND(I71="Muy Alta",M71="Menor"),AND(I71="Muy Alta",M71="Moderado"),AND(I71="Muy Alta",M71="Mayor")),"Alto",IF(OR(AND(I71="Muy Baja",M71="Catastrófico"),AND(I71="Baja",M71="Catastrófico"),AND(I71="Media",M71="Catastrófico"),AND(I71="Alta",M71="Catastrófico"),AND(I71="Muy Alta",M71="Catastrófico")),"Extremo",""))))</f>
        <v/>
      </c>
      <c r="P71" s="141">
        <v>1</v>
      </c>
      <c r="Q71" s="158"/>
      <c r="R71" s="161"/>
      <c r="S71" s="162"/>
      <c r="T71" s="162"/>
      <c r="U71" s="163"/>
      <c r="V71" s="162"/>
      <c r="W71" s="162"/>
      <c r="X71" s="162"/>
      <c r="Y71" s="144"/>
      <c r="Z71" s="164"/>
      <c r="AA71" s="122"/>
      <c r="AB71" s="164"/>
      <c r="AC71" s="122"/>
      <c r="AD71" s="165"/>
      <c r="AE71" s="119"/>
      <c r="AF71" s="113"/>
      <c r="AG71" s="145"/>
      <c r="AH71" s="112"/>
      <c r="AI71" s="112"/>
      <c r="AJ71" s="157"/>
      <c r="AK71" s="113"/>
      <c r="AL71" s="156"/>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row>
    <row r="72" spans="1:70" ht="18" hidden="1" customHeight="1" x14ac:dyDescent="0.25">
      <c r="A72" s="261"/>
      <c r="B72" s="146"/>
      <c r="C72" s="255"/>
      <c r="D72" s="255"/>
      <c r="E72" s="255"/>
      <c r="F72" s="258"/>
      <c r="G72" s="255"/>
      <c r="H72" s="252"/>
      <c r="I72" s="243"/>
      <c r="J72" s="234"/>
      <c r="K72" s="240"/>
      <c r="L72" s="234">
        <f ca="1">IF(NOT(ISERROR(MATCH(K72,_xlfn.ANCHORARRAY(F95),0))),J97&amp;"Por favor no seleccionar los criterios de impacto",K72)</f>
        <v>0</v>
      </c>
      <c r="M72" s="243"/>
      <c r="N72" s="234"/>
      <c r="O72" s="237"/>
      <c r="P72" s="155">
        <v>2</v>
      </c>
      <c r="Q72" s="158"/>
      <c r="R72" s="148" t="str">
        <f>IF(OR(S72="Preventivo",S72="Detectivo"),"Probabilidad",IF(S72="Correctivo","Impacto",""))</f>
        <v/>
      </c>
      <c r="S72" s="115"/>
      <c r="T72" s="115"/>
      <c r="U72" s="149" t="str">
        <f t="shared" ref="U72:U76" si="61">IF(AND(S72="Preventivo",T72="Automático"),"50%",IF(AND(S72="Preventivo",T72="Manual"),"40%",IF(AND(S72="Detectivo",T72="Automático"),"40%",IF(AND(S72="Detectivo",T72="Manual"),"30%",IF(AND(S72="Correctivo",T72="Automático"),"35%",IF(AND(S72="Correctivo",T72="Manual"),"25%",""))))))</f>
        <v/>
      </c>
      <c r="V72" s="115"/>
      <c r="W72" s="115"/>
      <c r="X72" s="115"/>
      <c r="Y72" s="150" t="str">
        <f>IFERROR(IF(AND(R71="Probabilidad",R72="Probabilidad"),(AA71-(+AA71*U72)),IF(R72="Probabilidad",(J71-(+J71*U72)),IF(R72="Impacto",AA71,""))),"")</f>
        <v/>
      </c>
      <c r="Z72" s="152" t="str">
        <f t="shared" ref="Z72:Z82" si="62">IFERROR(IF(Y72="","",IF(Y72&lt;=0.2,"Muy Baja",IF(Y72&lt;=0.4,"Baja",IF(Y72&lt;=0.6,"Media",IF(Y72&lt;=0.8,"Alta","Muy Alta"))))),"")</f>
        <v/>
      </c>
      <c r="AA72" s="151" t="str">
        <f t="shared" ref="AA72:AA76" si="63">+Y72</f>
        <v/>
      </c>
      <c r="AB72" s="152" t="str">
        <f t="shared" ref="AB72:AB82" si="64">IFERROR(IF(AC72="","",IF(AC72&lt;=0.2,"Leve",IF(AC72&lt;=0.4,"Menor",IF(AC72&lt;=0.6,"Moderado",IF(AC72&lt;=0.8,"Mayor","Catastrófico"))))),"")</f>
        <v/>
      </c>
      <c r="AC72" s="151" t="str">
        <f>IFERROR(IF(AND(R71="Impacto",R72="Impacto"),(AC71-(+AC71*U72)),IF(R72="Impacto",(N71-(+N71*U72)),IF(R72="Probabilidad",AC71,""))),"")</f>
        <v/>
      </c>
      <c r="AD72" s="153" t="str">
        <f t="shared" ref="AD72:AD73" si="65">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
      </c>
      <c r="AE72" s="154"/>
      <c r="AF72" s="113"/>
      <c r="AG72" s="156"/>
      <c r="AH72" s="157"/>
      <c r="AI72" s="157"/>
      <c r="AJ72" s="157"/>
      <c r="AK72" s="113"/>
      <c r="AL72" s="156"/>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row>
    <row r="73" spans="1:70" ht="18" hidden="1" customHeight="1" x14ac:dyDescent="0.25">
      <c r="A73" s="261"/>
      <c r="B73" s="146"/>
      <c r="C73" s="255"/>
      <c r="D73" s="255"/>
      <c r="E73" s="255"/>
      <c r="F73" s="258"/>
      <c r="G73" s="255"/>
      <c r="H73" s="252"/>
      <c r="I73" s="243"/>
      <c r="J73" s="234"/>
      <c r="K73" s="240"/>
      <c r="L73" s="234">
        <f ca="1">IF(NOT(ISERROR(MATCH(K73,_xlfn.ANCHORARRAY(F96),0))),J98&amp;"Por favor no seleccionar los criterios de impacto",K73)</f>
        <v>0</v>
      </c>
      <c r="M73" s="243"/>
      <c r="N73" s="234"/>
      <c r="O73" s="237"/>
      <c r="P73" s="155">
        <v>3</v>
      </c>
      <c r="Q73" s="147"/>
      <c r="R73" s="148" t="str">
        <f>IF(OR(S73="Preventivo",S73="Detectivo"),"Probabilidad",IF(S73="Correctivo","Impacto",""))</f>
        <v/>
      </c>
      <c r="S73" s="115"/>
      <c r="T73" s="115"/>
      <c r="U73" s="149" t="str">
        <f t="shared" si="61"/>
        <v/>
      </c>
      <c r="V73" s="115"/>
      <c r="W73" s="115"/>
      <c r="X73" s="115"/>
      <c r="Y73" s="150" t="str">
        <f>IFERROR(IF(AND(R72="Probabilidad",R73="Probabilidad"),(AA72-(+AA72*U73)),IF(AND(R72="Impacto",R73="Probabilidad"),(AA71-(+AA71*U73)),IF(R73="Impacto",AA72,""))),"")</f>
        <v/>
      </c>
      <c r="Z73" s="152" t="str">
        <f t="shared" si="62"/>
        <v/>
      </c>
      <c r="AA73" s="151" t="str">
        <f t="shared" si="63"/>
        <v/>
      </c>
      <c r="AB73" s="152" t="str">
        <f t="shared" si="64"/>
        <v/>
      </c>
      <c r="AC73" s="151" t="str">
        <f>IFERROR(IF(AND(R72="Impacto",R73="Impacto"),(AC72-(+AC72*U73)),IF(AND(R72="Probabilidad",R73="Impacto"),(AC71-(+AC71*U73)),IF(R73="Probabilidad",AC72,""))),"")</f>
        <v/>
      </c>
      <c r="AD73" s="153" t="str">
        <f t="shared" si="65"/>
        <v/>
      </c>
      <c r="AE73" s="154"/>
      <c r="AF73" s="113"/>
      <c r="AG73" s="156"/>
      <c r="AH73" s="157"/>
      <c r="AI73" s="157"/>
      <c r="AJ73" s="157"/>
      <c r="AK73" s="113"/>
      <c r="AL73" s="156"/>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row>
    <row r="74" spans="1:70" ht="18" hidden="1" customHeight="1" x14ac:dyDescent="0.25">
      <c r="A74" s="261"/>
      <c r="B74" s="146"/>
      <c r="C74" s="255"/>
      <c r="D74" s="255"/>
      <c r="E74" s="255"/>
      <c r="F74" s="258"/>
      <c r="G74" s="255"/>
      <c r="H74" s="252"/>
      <c r="I74" s="243"/>
      <c r="J74" s="234"/>
      <c r="K74" s="240"/>
      <c r="L74" s="234">
        <f ca="1">IF(NOT(ISERROR(MATCH(K74,_xlfn.ANCHORARRAY(F97),0))),J99&amp;"Por favor no seleccionar los criterios de impacto",K74)</f>
        <v>0</v>
      </c>
      <c r="M74" s="243"/>
      <c r="N74" s="234"/>
      <c r="O74" s="237"/>
      <c r="P74" s="155">
        <v>4</v>
      </c>
      <c r="Q74" s="158"/>
      <c r="R74" s="148" t="str">
        <f t="shared" ref="R74:R76" si="66">IF(OR(S74="Preventivo",S74="Detectivo"),"Probabilidad",IF(S74="Correctivo","Impacto",""))</f>
        <v/>
      </c>
      <c r="S74" s="115"/>
      <c r="T74" s="115"/>
      <c r="U74" s="149" t="str">
        <f t="shared" si="61"/>
        <v/>
      </c>
      <c r="V74" s="115"/>
      <c r="W74" s="115"/>
      <c r="X74" s="115"/>
      <c r="Y74" s="150" t="str">
        <f t="shared" ref="Y74:Y75" si="67">IFERROR(IF(AND(R73="Probabilidad",R74="Probabilidad"),(AA73-(+AA73*U74)),IF(AND(R73="Impacto",R74="Probabilidad"),(AA72-(+AA72*U74)),IF(R74="Impacto",AA73,""))),"")</f>
        <v/>
      </c>
      <c r="Z74" s="152" t="str">
        <f t="shared" si="62"/>
        <v/>
      </c>
      <c r="AA74" s="151" t="str">
        <f t="shared" si="63"/>
        <v/>
      </c>
      <c r="AB74" s="152" t="str">
        <f t="shared" si="64"/>
        <v/>
      </c>
      <c r="AC74" s="151" t="str">
        <f t="shared" ref="AC74:AC75" si="68">IFERROR(IF(AND(R73="Impacto",R74="Impacto"),(AC73-(+AC73*U74)),IF(AND(R73="Probabilidad",R74="Impacto"),(AC72-(+AC72*U74)),IF(R74="Probabilidad",AC73,""))),"")</f>
        <v/>
      </c>
      <c r="AD74" s="153" t="str">
        <f>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54"/>
      <c r="AF74" s="113"/>
      <c r="AG74" s="156"/>
      <c r="AH74" s="157"/>
      <c r="AI74" s="157"/>
      <c r="AJ74" s="157"/>
      <c r="AK74" s="113"/>
      <c r="AL74" s="156"/>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row>
    <row r="75" spans="1:70" ht="18" hidden="1" customHeight="1" x14ac:dyDescent="0.25">
      <c r="A75" s="261"/>
      <c r="B75" s="146"/>
      <c r="C75" s="255"/>
      <c r="D75" s="255"/>
      <c r="E75" s="255"/>
      <c r="F75" s="258"/>
      <c r="G75" s="255"/>
      <c r="H75" s="252"/>
      <c r="I75" s="243"/>
      <c r="J75" s="234"/>
      <c r="K75" s="240"/>
      <c r="L75" s="234">
        <f ca="1">IF(NOT(ISERROR(MATCH(K75,_xlfn.ANCHORARRAY(F98),0))),J100&amp;"Por favor no seleccionar los criterios de impacto",K75)</f>
        <v>0</v>
      </c>
      <c r="M75" s="243"/>
      <c r="N75" s="234"/>
      <c r="O75" s="237"/>
      <c r="P75" s="155">
        <v>5</v>
      </c>
      <c r="Q75" s="158"/>
      <c r="R75" s="148" t="str">
        <f t="shared" si="66"/>
        <v/>
      </c>
      <c r="S75" s="115"/>
      <c r="T75" s="115"/>
      <c r="U75" s="149" t="str">
        <f t="shared" si="61"/>
        <v/>
      </c>
      <c r="V75" s="115"/>
      <c r="W75" s="115"/>
      <c r="X75" s="115"/>
      <c r="Y75" s="150" t="str">
        <f t="shared" si="67"/>
        <v/>
      </c>
      <c r="Z75" s="152" t="str">
        <f t="shared" si="62"/>
        <v/>
      </c>
      <c r="AA75" s="151" t="str">
        <f t="shared" si="63"/>
        <v/>
      </c>
      <c r="AB75" s="152" t="str">
        <f t="shared" si="64"/>
        <v/>
      </c>
      <c r="AC75" s="151" t="str">
        <f t="shared" si="68"/>
        <v/>
      </c>
      <c r="AD75" s="153" t="str">
        <f t="shared" ref="AD75:AD76" si="69">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154"/>
      <c r="AF75" s="113"/>
      <c r="AG75" s="156"/>
      <c r="AH75" s="157"/>
      <c r="AI75" s="157"/>
      <c r="AJ75" s="157"/>
      <c r="AK75" s="113"/>
      <c r="AL75" s="156"/>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row>
    <row r="76" spans="1:70" ht="18" hidden="1" customHeight="1" x14ac:dyDescent="0.25">
      <c r="A76" s="262"/>
      <c r="B76" s="159"/>
      <c r="C76" s="256"/>
      <c r="D76" s="256"/>
      <c r="E76" s="256"/>
      <c r="F76" s="259"/>
      <c r="G76" s="256"/>
      <c r="H76" s="253"/>
      <c r="I76" s="244"/>
      <c r="J76" s="235"/>
      <c r="K76" s="241"/>
      <c r="L76" s="235">
        <f ca="1">IF(NOT(ISERROR(MATCH(K76,_xlfn.ANCHORARRAY(F99),0))),J101&amp;"Por favor no seleccionar los criterios de impacto",K76)</f>
        <v>0</v>
      </c>
      <c r="M76" s="244"/>
      <c r="N76" s="235"/>
      <c r="O76" s="238"/>
      <c r="P76" s="155">
        <v>6</v>
      </c>
      <c r="Q76" s="158"/>
      <c r="R76" s="148" t="str">
        <f t="shared" si="66"/>
        <v/>
      </c>
      <c r="S76" s="115"/>
      <c r="T76" s="115"/>
      <c r="U76" s="149" t="str">
        <f t="shared" si="61"/>
        <v/>
      </c>
      <c r="V76" s="115"/>
      <c r="W76" s="115"/>
      <c r="X76" s="115"/>
      <c r="Y76" s="150" t="str">
        <f>IFERROR(IF(AND(R75="Probabilidad",R76="Probabilidad"),(AA75-(+AA75*U76)),IF(AND(R75="Impacto",R76="Probabilidad"),(AA74-(+AA74*U76)),IF(R76="Impacto",AA75,""))),"")</f>
        <v/>
      </c>
      <c r="Z76" s="152" t="str">
        <f t="shared" si="62"/>
        <v/>
      </c>
      <c r="AA76" s="151" t="str">
        <f t="shared" si="63"/>
        <v/>
      </c>
      <c r="AB76" s="152" t="str">
        <f t="shared" si="64"/>
        <v/>
      </c>
      <c r="AC76" s="151" t="str">
        <f>IFERROR(IF(AND(R75="Impacto",R76="Impacto"),(AC75-(+AC75*U76)),IF(AND(R75="Probabilidad",R76="Impacto"),(AC74-(+AC74*U76)),IF(R76="Probabilidad",AC75,""))),"")</f>
        <v/>
      </c>
      <c r="AD76" s="153" t="str">
        <f t="shared" si="69"/>
        <v/>
      </c>
      <c r="AE76" s="154"/>
      <c r="AF76" s="113"/>
      <c r="AG76" s="156"/>
      <c r="AH76" s="157"/>
      <c r="AI76" s="157"/>
      <c r="AJ76" s="157"/>
      <c r="AK76" s="113"/>
      <c r="AL76" s="156"/>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row>
    <row r="77" spans="1:70" ht="18" hidden="1" customHeight="1" x14ac:dyDescent="0.25">
      <c r="A77" s="260"/>
      <c r="B77" s="140"/>
      <c r="C77" s="272"/>
      <c r="D77" s="272"/>
      <c r="E77" s="272"/>
      <c r="F77" s="275"/>
      <c r="G77" s="272"/>
      <c r="H77" s="299"/>
      <c r="I77" s="216" t="str">
        <f>IF(H77&lt;=0,"",IF(H77&lt;=2,"Muy Baja",IF(H77&lt;=24,"Baja",IF(H77&lt;=500,"Media",IF(H77&lt;=5000,"Alta","Muy Alta")))))</f>
        <v/>
      </c>
      <c r="J77" s="213" t="str">
        <f>IF(I77="","",IF(I77="Muy Baja",0.2,IF(I77="Baja",0.4,IF(I77="Media",0.6,IF(I77="Alta",0.8,IF(I77="Muy Alta",1,))))))</f>
        <v/>
      </c>
      <c r="K77" s="210"/>
      <c r="L77" s="213">
        <f>IF(NOT(ISERROR(MATCH(K77,'Tabla Impacto'!$B$225:$B$227,0))),'Tabla Impacto'!$G$227&amp;"Por favor no seleccionar los criterios de impacto(Afectación Económica o presupuestal y Pérdida Reputacional)",K77)</f>
        <v>0</v>
      </c>
      <c r="M77" s="216" t="str">
        <f>IF(OR(L77='Tabla Impacto'!$C$15,L77='Tabla Impacto'!$E$15),"Leve",IF(OR(L77='Tabla Impacto'!$C$16,L77='Tabla Impacto'!$E$16),"Menor",IF(OR(L77='Tabla Impacto'!$C$17,L77='Tabla Impacto'!$E$17),"Moderado",IF(OR(L77='Tabla Impacto'!$C$18,L77='Tabla Impacto'!$E$18),"Mayor",IF(OR(L77='Tabla Impacto'!$C$19,L77='Tabla Impacto'!$E$19),"Catastrófico","")))))</f>
        <v/>
      </c>
      <c r="N77" s="213" t="str">
        <f>IF(M77="","",IF(M77="Leve",0.2,IF(M77="Menor",0.4,IF(M77="Moderado",0.6,IF(M77="Mayor",0.8,IF(M77="Catastrófico",1,))))))</f>
        <v/>
      </c>
      <c r="O77" s="219" t="str">
        <f>IF(OR(AND(I77="Muy Baja",M77="Leve"),AND(I77="Muy Baja",M77="Menor"),AND(I77="Baja",M77="Leve")),"Bajo",IF(OR(AND(I77="Muy baja",M77="Moderado"),AND(I77="Baja",M77="Menor"),AND(I77="Baja",M77="Moderado"),AND(I77="Media",M77="Leve"),AND(I77="Media",M77="Menor"),AND(I77="Media",M77="Moderado"),AND(I77="Alta",M77="Leve"),AND(I77="Alta",M77="Menor")),"Moderado",IF(OR(AND(I77="Muy Baja",M77="Mayor"),AND(I77="Baja",M77="Mayor"),AND(I77="Media",M77="Mayor"),AND(I77="Alta",M77="Moderado"),AND(I77="Alta",M77="Mayor"),AND(I77="Muy Alta",M77="Leve"),AND(I77="Muy Alta",M77="Menor"),AND(I77="Muy Alta",M77="Moderado"),AND(I77="Muy Alta",M77="Mayor")),"Alto",IF(OR(AND(I77="Muy Baja",M77="Catastrófico"),AND(I77="Baja",M77="Catastrófico"),AND(I77="Media",M77="Catastrófico"),AND(I77="Alta",M77="Catastrófico"),AND(I77="Muy Alta",M77="Catastrófico")),"Extremo",""))))</f>
        <v/>
      </c>
      <c r="P77" s="155">
        <v>1</v>
      </c>
      <c r="Q77" s="158"/>
      <c r="R77" s="161"/>
      <c r="S77" s="162"/>
      <c r="T77" s="162"/>
      <c r="U77" s="163" t="str">
        <f>IF(AND(S77="Preventivo",T77="Automático"),"50%",IF(AND(S77="Preventivo",T77="Manual"),"40%",IF(AND(S77="Detectivo",T77="Automático"),"40%",IF(AND(S77="Detectivo",T77="Manual"),"30%",IF(AND(S77="Correctivo",T77="Automático"),"35%",IF(AND(S77="Correctivo",T77="Manual"),"25%",""))))))</f>
        <v/>
      </c>
      <c r="V77" s="162"/>
      <c r="W77" s="162"/>
      <c r="X77" s="162"/>
      <c r="Y77" s="144" t="str">
        <f>IFERROR(IF(R77="Probabilidad",(J77-(+J77*U77)),IF(R77="Impacto",J77,"")),"")</f>
        <v/>
      </c>
      <c r="Z77" s="164" t="str">
        <f t="shared" si="62"/>
        <v/>
      </c>
      <c r="AA77" s="122" t="str">
        <f>+Y77</f>
        <v/>
      </c>
      <c r="AB77" s="164" t="str">
        <f t="shared" si="64"/>
        <v/>
      </c>
      <c r="AC77" s="122" t="str">
        <f>IFERROR(IF(R77="Impacto",(N77-(+N77*U77)),IF(R77="Probabilidad",N77,"")),"")</f>
        <v/>
      </c>
      <c r="AD77" s="165" t="str">
        <f>IFERROR(IF(OR(AND(Z77="Muy Baja",AB77="Leve"),AND(Z77="Muy Baja",AB77="Menor"),AND(Z77="Baja",AB77="Leve")),"Bajo",IF(OR(AND(Z77="Muy baja",AB77="Moderado"),AND(Z77="Baja",AB77="Menor"),AND(Z77="Baja",AB77="Moderado"),AND(Z77="Media",AB77="Leve"),AND(Z77="Media",AB77="Menor"),AND(Z77="Media",AB77="Moderado"),AND(Z77="Alta",AB77="Leve"),AND(Z77="Alta",AB77="Menor")),"Moderado",IF(OR(AND(Z77="Muy Baja",AB77="Mayor"),AND(Z77="Baja",AB77="Mayor"),AND(Z77="Media",AB77="Mayor"),AND(Z77="Alta",AB77="Moderado"),AND(Z77="Alta",AB77="Mayor"),AND(Z77="Muy Alta",AB77="Leve"),AND(Z77="Muy Alta",AB77="Menor"),AND(Z77="Muy Alta",AB77="Moderado"),AND(Z77="Muy Alta",AB77="Mayor")),"Alto",IF(OR(AND(Z77="Muy Baja",AB77="Catastrófico"),AND(Z77="Baja",AB77="Catastrófico"),AND(Z77="Media",AB77="Catastrófico"),AND(Z77="Alta",AB77="Catastrófico"),AND(Z77="Muy Alta",AB77="Catastrófico")),"Extremo","")))),"")</f>
        <v/>
      </c>
      <c r="AE77" s="119"/>
      <c r="AF77" s="113"/>
      <c r="AG77" s="156"/>
      <c r="AH77" s="157"/>
      <c r="AI77" s="157"/>
      <c r="AJ77" s="157"/>
      <c r="AK77" s="113"/>
      <c r="AL77" s="156"/>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row>
    <row r="78" spans="1:70" ht="18" hidden="1" customHeight="1" x14ac:dyDescent="0.25">
      <c r="A78" s="261"/>
      <c r="B78" s="146"/>
      <c r="C78" s="273"/>
      <c r="D78" s="273"/>
      <c r="E78" s="273"/>
      <c r="F78" s="276"/>
      <c r="G78" s="273"/>
      <c r="H78" s="300"/>
      <c r="I78" s="217"/>
      <c r="J78" s="214"/>
      <c r="K78" s="211"/>
      <c r="L78" s="214">
        <f ca="1">IF(NOT(ISERROR(MATCH(K78,_xlfn.ANCHORARRAY(F101),0))),J103&amp;"Por favor no seleccionar los criterios de impacto",K78)</f>
        <v>0</v>
      </c>
      <c r="M78" s="217"/>
      <c r="N78" s="214"/>
      <c r="O78" s="220"/>
      <c r="P78" s="155">
        <v>2</v>
      </c>
      <c r="Q78" s="158"/>
      <c r="R78" s="148" t="str">
        <f>IF(OR(S78="Preventivo",S78="Detectivo"),"Probabilidad",IF(S78="Correctivo","Impacto",""))</f>
        <v/>
      </c>
      <c r="S78" s="115"/>
      <c r="T78" s="115"/>
      <c r="U78" s="149" t="str">
        <f t="shared" ref="U78:U82" si="70">IF(AND(S78="Preventivo",T78="Automático"),"50%",IF(AND(S78="Preventivo",T78="Manual"),"40%",IF(AND(S78="Detectivo",T78="Automático"),"40%",IF(AND(S78="Detectivo",T78="Manual"),"30%",IF(AND(S78="Correctivo",T78="Automático"),"35%",IF(AND(S78="Correctivo",T78="Manual"),"25%",""))))))</f>
        <v/>
      </c>
      <c r="V78" s="115"/>
      <c r="W78" s="115"/>
      <c r="X78" s="115"/>
      <c r="Y78" s="150" t="str">
        <f>IFERROR(IF(AND(R77="Probabilidad",R78="Probabilidad"),(AA77-(+AA77*U78)),IF(R78="Probabilidad",(J77-(+J77*U78)),IF(R78="Impacto",AA77,""))),"")</f>
        <v/>
      </c>
      <c r="Z78" s="152" t="str">
        <f t="shared" si="62"/>
        <v/>
      </c>
      <c r="AA78" s="151" t="str">
        <f t="shared" ref="AA78:AA82" si="71">+Y78</f>
        <v/>
      </c>
      <c r="AB78" s="152" t="str">
        <f t="shared" si="64"/>
        <v/>
      </c>
      <c r="AC78" s="151" t="str">
        <f>IFERROR(IF(AND(R77="Impacto",R78="Impacto"),(AC77-(+AC77*U78)),IF(R78="Impacto",(N77-(+N77*U78)),IF(R78="Probabilidad",AC77,""))),"")</f>
        <v/>
      </c>
      <c r="AD78" s="153" t="str">
        <f t="shared" ref="AD78:AD79" si="72">IFERROR(IF(OR(AND(Z78="Muy Baja",AB78="Leve"),AND(Z78="Muy Baja",AB78="Menor"),AND(Z78="Baja",AB78="Leve")),"Bajo",IF(OR(AND(Z78="Muy baja",AB78="Moderado"),AND(Z78="Baja",AB78="Menor"),AND(Z78="Baja",AB78="Moderado"),AND(Z78="Media",AB78="Leve"),AND(Z78="Media",AB78="Menor"),AND(Z78="Media",AB78="Moderado"),AND(Z78="Alta",AB78="Leve"),AND(Z78="Alta",AB78="Menor")),"Moderado",IF(OR(AND(Z78="Muy Baja",AB78="Mayor"),AND(Z78="Baja",AB78="Mayor"),AND(Z78="Media",AB78="Mayor"),AND(Z78="Alta",AB78="Moderado"),AND(Z78="Alta",AB78="Mayor"),AND(Z78="Muy Alta",AB78="Leve"),AND(Z78="Muy Alta",AB78="Menor"),AND(Z78="Muy Alta",AB78="Moderado"),AND(Z78="Muy Alta",AB78="Mayor")),"Alto",IF(OR(AND(Z78="Muy Baja",AB78="Catastrófico"),AND(Z78="Baja",AB78="Catastrófico"),AND(Z78="Media",AB78="Catastrófico"),AND(Z78="Alta",AB78="Catastrófico"),AND(Z78="Muy Alta",AB78="Catastrófico")),"Extremo","")))),"")</f>
        <v/>
      </c>
      <c r="AE78" s="154"/>
      <c r="AF78" s="113"/>
      <c r="AG78" s="156"/>
      <c r="AH78" s="157"/>
      <c r="AI78" s="157"/>
      <c r="AJ78" s="157"/>
      <c r="AK78" s="113"/>
      <c r="AL78" s="156"/>
    </row>
    <row r="79" spans="1:70" ht="18" hidden="1" customHeight="1" x14ac:dyDescent="0.25">
      <c r="A79" s="261"/>
      <c r="B79" s="146"/>
      <c r="C79" s="273"/>
      <c r="D79" s="273"/>
      <c r="E79" s="273"/>
      <c r="F79" s="276"/>
      <c r="G79" s="273"/>
      <c r="H79" s="300"/>
      <c r="I79" s="217"/>
      <c r="J79" s="214"/>
      <c r="K79" s="211"/>
      <c r="L79" s="214">
        <f ca="1">IF(NOT(ISERROR(MATCH(K79,_xlfn.ANCHORARRAY(F102),0))),J104&amp;"Por favor no seleccionar los criterios de impacto",K79)</f>
        <v>0</v>
      </c>
      <c r="M79" s="217"/>
      <c r="N79" s="214"/>
      <c r="O79" s="220"/>
      <c r="P79" s="155">
        <v>3</v>
      </c>
      <c r="Q79" s="147"/>
      <c r="R79" s="148" t="str">
        <f>IF(OR(S79="Preventivo",S79="Detectivo"),"Probabilidad",IF(S79="Correctivo","Impacto",""))</f>
        <v/>
      </c>
      <c r="S79" s="115"/>
      <c r="T79" s="115"/>
      <c r="U79" s="149" t="str">
        <f t="shared" si="70"/>
        <v/>
      </c>
      <c r="V79" s="115"/>
      <c r="W79" s="115"/>
      <c r="X79" s="115"/>
      <c r="Y79" s="150" t="str">
        <f>IFERROR(IF(AND(R78="Probabilidad",R79="Probabilidad"),(AA78-(+AA78*U79)),IF(AND(R78="Impacto",R79="Probabilidad"),(AA77-(+AA77*U79)),IF(R79="Impacto",AA78,""))),"")</f>
        <v/>
      </c>
      <c r="Z79" s="152" t="str">
        <f t="shared" si="62"/>
        <v/>
      </c>
      <c r="AA79" s="151" t="str">
        <f t="shared" si="71"/>
        <v/>
      </c>
      <c r="AB79" s="152" t="str">
        <f t="shared" si="64"/>
        <v/>
      </c>
      <c r="AC79" s="151" t="str">
        <f>IFERROR(IF(AND(R78="Impacto",R79="Impacto"),(AC78-(+AC78*U79)),IF(AND(R78="Probabilidad",R79="Impacto"),(AC77-(+AC77*U79)),IF(R79="Probabilidad",AC78,""))),"")</f>
        <v/>
      </c>
      <c r="AD79" s="153" t="str">
        <f t="shared" si="72"/>
        <v/>
      </c>
      <c r="AE79" s="154"/>
      <c r="AF79" s="113"/>
      <c r="AG79" s="156"/>
      <c r="AH79" s="157"/>
      <c r="AI79" s="157"/>
      <c r="AJ79" s="157"/>
      <c r="AK79" s="113"/>
      <c r="AL79" s="156"/>
    </row>
    <row r="80" spans="1:70" ht="18" hidden="1" customHeight="1" x14ac:dyDescent="0.25">
      <c r="A80" s="261"/>
      <c r="B80" s="146"/>
      <c r="C80" s="273"/>
      <c r="D80" s="273"/>
      <c r="E80" s="273"/>
      <c r="F80" s="276"/>
      <c r="G80" s="273"/>
      <c r="H80" s="300"/>
      <c r="I80" s="217"/>
      <c r="J80" s="214"/>
      <c r="K80" s="211"/>
      <c r="L80" s="214">
        <f ca="1">IF(NOT(ISERROR(MATCH(K80,_xlfn.ANCHORARRAY(F103),0))),J105&amp;"Por favor no seleccionar los criterios de impacto",K80)</f>
        <v>0</v>
      </c>
      <c r="M80" s="217"/>
      <c r="N80" s="214"/>
      <c r="O80" s="220"/>
      <c r="P80" s="155">
        <v>4</v>
      </c>
      <c r="Q80" s="158"/>
      <c r="R80" s="148" t="str">
        <f t="shared" ref="R80:R82" si="73">IF(OR(S80="Preventivo",S80="Detectivo"),"Probabilidad",IF(S80="Correctivo","Impacto",""))</f>
        <v/>
      </c>
      <c r="S80" s="115"/>
      <c r="T80" s="115"/>
      <c r="U80" s="149" t="str">
        <f t="shared" si="70"/>
        <v/>
      </c>
      <c r="V80" s="115"/>
      <c r="W80" s="115"/>
      <c r="X80" s="115"/>
      <c r="Y80" s="150" t="str">
        <f t="shared" ref="Y80:Y81" si="74">IFERROR(IF(AND(R79="Probabilidad",R80="Probabilidad"),(AA79-(+AA79*U80)),IF(AND(R79="Impacto",R80="Probabilidad"),(AA78-(+AA78*U80)),IF(R80="Impacto",AA79,""))),"")</f>
        <v/>
      </c>
      <c r="Z80" s="152" t="str">
        <f t="shared" si="62"/>
        <v/>
      </c>
      <c r="AA80" s="151" t="str">
        <f t="shared" si="71"/>
        <v/>
      </c>
      <c r="AB80" s="152" t="str">
        <f t="shared" si="64"/>
        <v/>
      </c>
      <c r="AC80" s="151" t="str">
        <f t="shared" ref="AC80:AC81" si="75">IFERROR(IF(AND(R79="Impacto",R80="Impacto"),(AC79-(+AC79*U80)),IF(AND(R79="Probabilidad",R80="Impacto"),(AC78-(+AC78*U80)),IF(R80="Probabilidad",AC79,""))),"")</f>
        <v/>
      </c>
      <c r="AD80" s="153" t="str">
        <f>IFERROR(IF(OR(AND(Z80="Muy Baja",AB80="Leve"),AND(Z80="Muy Baja",AB80="Menor"),AND(Z80="Baja",AB80="Leve")),"Bajo",IF(OR(AND(Z80="Muy baja",AB80="Moderado"),AND(Z80="Baja",AB80="Menor"),AND(Z80="Baja",AB80="Moderado"),AND(Z80="Media",AB80="Leve"),AND(Z80="Media",AB80="Menor"),AND(Z80="Media",AB80="Moderado"),AND(Z80="Alta",AB80="Leve"),AND(Z80="Alta",AB80="Menor")),"Moderado",IF(OR(AND(Z80="Muy Baja",AB80="Mayor"),AND(Z80="Baja",AB80="Mayor"),AND(Z80="Media",AB80="Mayor"),AND(Z80="Alta",AB80="Moderado"),AND(Z80="Alta",AB80="Mayor"),AND(Z80="Muy Alta",AB80="Leve"),AND(Z80="Muy Alta",AB80="Menor"),AND(Z80="Muy Alta",AB80="Moderado"),AND(Z80="Muy Alta",AB80="Mayor")),"Alto",IF(OR(AND(Z80="Muy Baja",AB80="Catastrófico"),AND(Z80="Baja",AB80="Catastrófico"),AND(Z80="Media",AB80="Catastrófico"),AND(Z80="Alta",AB80="Catastrófico"),AND(Z80="Muy Alta",AB80="Catastrófico")),"Extremo","")))),"")</f>
        <v/>
      </c>
      <c r="AE80" s="154"/>
      <c r="AF80" s="113"/>
      <c r="AG80" s="156"/>
      <c r="AH80" s="157"/>
      <c r="AI80" s="157"/>
      <c r="AJ80" s="157"/>
      <c r="AK80" s="113"/>
      <c r="AL80" s="156"/>
    </row>
    <row r="81" spans="1:38" ht="18" hidden="1" customHeight="1" x14ac:dyDescent="0.25">
      <c r="A81" s="261"/>
      <c r="B81" s="146"/>
      <c r="C81" s="273"/>
      <c r="D81" s="273"/>
      <c r="E81" s="273"/>
      <c r="F81" s="276"/>
      <c r="G81" s="273"/>
      <c r="H81" s="300"/>
      <c r="I81" s="217"/>
      <c r="J81" s="214"/>
      <c r="K81" s="211"/>
      <c r="L81" s="214">
        <f ca="1">IF(NOT(ISERROR(MATCH(K81,_xlfn.ANCHORARRAY(F104),0))),J106&amp;"Por favor no seleccionar los criterios de impacto",K81)</f>
        <v>0</v>
      </c>
      <c r="M81" s="217"/>
      <c r="N81" s="214"/>
      <c r="O81" s="220"/>
      <c r="P81" s="155">
        <v>5</v>
      </c>
      <c r="Q81" s="158"/>
      <c r="R81" s="148" t="str">
        <f t="shared" si="73"/>
        <v/>
      </c>
      <c r="S81" s="115"/>
      <c r="T81" s="115"/>
      <c r="U81" s="149" t="str">
        <f t="shared" si="70"/>
        <v/>
      </c>
      <c r="V81" s="115"/>
      <c r="W81" s="115"/>
      <c r="X81" s="115"/>
      <c r="Y81" s="150" t="str">
        <f t="shared" si="74"/>
        <v/>
      </c>
      <c r="Z81" s="152" t="str">
        <f t="shared" si="62"/>
        <v/>
      </c>
      <c r="AA81" s="151" t="str">
        <f t="shared" si="71"/>
        <v/>
      </c>
      <c r="AB81" s="152" t="str">
        <f t="shared" si="64"/>
        <v/>
      </c>
      <c r="AC81" s="151" t="str">
        <f t="shared" si="75"/>
        <v/>
      </c>
      <c r="AD81" s="153" t="str">
        <f t="shared" ref="AD81:AD82" si="76">IFERROR(IF(OR(AND(Z81="Muy Baja",AB81="Leve"),AND(Z81="Muy Baja",AB81="Menor"),AND(Z81="Baja",AB81="Leve")),"Bajo",IF(OR(AND(Z81="Muy baja",AB81="Moderado"),AND(Z81="Baja",AB81="Menor"),AND(Z81="Baja",AB81="Moderado"),AND(Z81="Media",AB81="Leve"),AND(Z81="Media",AB81="Menor"),AND(Z81="Media",AB81="Moderado"),AND(Z81="Alta",AB81="Leve"),AND(Z81="Alta",AB81="Menor")),"Moderado",IF(OR(AND(Z81="Muy Baja",AB81="Mayor"),AND(Z81="Baja",AB81="Mayor"),AND(Z81="Media",AB81="Mayor"),AND(Z81="Alta",AB81="Moderado"),AND(Z81="Alta",AB81="Mayor"),AND(Z81="Muy Alta",AB81="Leve"),AND(Z81="Muy Alta",AB81="Menor"),AND(Z81="Muy Alta",AB81="Moderado"),AND(Z81="Muy Alta",AB81="Mayor")),"Alto",IF(OR(AND(Z81="Muy Baja",AB81="Catastrófico"),AND(Z81="Baja",AB81="Catastrófico"),AND(Z81="Media",AB81="Catastrófico"),AND(Z81="Alta",AB81="Catastrófico"),AND(Z81="Muy Alta",AB81="Catastrófico")),"Extremo","")))),"")</f>
        <v/>
      </c>
      <c r="AE81" s="154"/>
      <c r="AF81" s="113"/>
      <c r="AG81" s="156"/>
      <c r="AH81" s="157"/>
      <c r="AI81" s="157"/>
      <c r="AJ81" s="157"/>
      <c r="AK81" s="113"/>
      <c r="AL81" s="156"/>
    </row>
    <row r="82" spans="1:38" ht="18" hidden="1" customHeight="1" x14ac:dyDescent="0.25">
      <c r="A82" s="262"/>
      <c r="B82" s="159"/>
      <c r="C82" s="274"/>
      <c r="D82" s="274"/>
      <c r="E82" s="274"/>
      <c r="F82" s="277"/>
      <c r="G82" s="274"/>
      <c r="H82" s="301"/>
      <c r="I82" s="218"/>
      <c r="J82" s="215"/>
      <c r="K82" s="212"/>
      <c r="L82" s="215">
        <f ca="1">IF(NOT(ISERROR(MATCH(K82,_xlfn.ANCHORARRAY(F105),0))),J107&amp;"Por favor no seleccionar los criterios de impacto",K82)</f>
        <v>0</v>
      </c>
      <c r="M82" s="218"/>
      <c r="N82" s="215"/>
      <c r="O82" s="221"/>
      <c r="P82" s="155">
        <v>6</v>
      </c>
      <c r="Q82" s="158"/>
      <c r="R82" s="148" t="str">
        <f t="shared" si="73"/>
        <v/>
      </c>
      <c r="S82" s="115"/>
      <c r="T82" s="115"/>
      <c r="U82" s="149" t="str">
        <f t="shared" si="70"/>
        <v/>
      </c>
      <c r="V82" s="115"/>
      <c r="W82" s="115"/>
      <c r="X82" s="115"/>
      <c r="Y82" s="150" t="str">
        <f>IFERROR(IF(AND(R81="Probabilidad",R82="Probabilidad"),(AA81-(+AA81*U82)),IF(AND(R81="Impacto",R82="Probabilidad"),(AA80-(+AA80*U82)),IF(R82="Impacto",AA81,""))),"")</f>
        <v/>
      </c>
      <c r="Z82" s="152" t="str">
        <f t="shared" si="62"/>
        <v/>
      </c>
      <c r="AA82" s="151" t="str">
        <f t="shared" si="71"/>
        <v/>
      </c>
      <c r="AB82" s="152" t="str">
        <f t="shared" si="64"/>
        <v/>
      </c>
      <c r="AC82" s="151" t="str">
        <f>IFERROR(IF(AND(R81="Impacto",R82="Impacto"),(AC81-(+AC81*U82)),IF(AND(R81="Probabilidad",R82="Impacto"),(AC80-(+AC80*U82)),IF(R82="Probabilidad",AC81,""))),"")</f>
        <v/>
      </c>
      <c r="AD82" s="153" t="str">
        <f t="shared" si="76"/>
        <v/>
      </c>
      <c r="AE82" s="154"/>
      <c r="AF82" s="113"/>
      <c r="AG82" s="156"/>
      <c r="AH82" s="157"/>
      <c r="AI82" s="157"/>
      <c r="AJ82" s="157"/>
      <c r="AK82" s="113"/>
      <c r="AL82" s="156"/>
    </row>
    <row r="83" spans="1:38" ht="34.5" customHeight="1" x14ac:dyDescent="0.25">
      <c r="A83" s="141"/>
      <c r="B83" s="171"/>
      <c r="C83" s="296" t="s">
        <v>345</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8"/>
    </row>
    <row r="85" spans="1:38" x14ac:dyDescent="0.25">
      <c r="A85" s="102"/>
      <c r="B85" s="176" t="s">
        <v>390</v>
      </c>
      <c r="C85" s="108"/>
      <c r="D85" s="102"/>
      <c r="E85" s="102"/>
      <c r="G85" s="102"/>
    </row>
    <row r="86" spans="1:38" x14ac:dyDescent="0.25">
      <c r="B86" s="177" t="s">
        <v>389</v>
      </c>
    </row>
  </sheetData>
  <dataConsolidate/>
  <mergeCells count="226">
    <mergeCell ref="K77:K82"/>
    <mergeCell ref="L77:L82"/>
    <mergeCell ref="M77:M82"/>
    <mergeCell ref="N77:N82"/>
    <mergeCell ref="O77:O82"/>
    <mergeCell ref="A77:A82"/>
    <mergeCell ref="C77:C82"/>
    <mergeCell ref="D77:D82"/>
    <mergeCell ref="E77:E82"/>
    <mergeCell ref="F77:F82"/>
    <mergeCell ref="G77:G82"/>
    <mergeCell ref="H77:H82"/>
    <mergeCell ref="I77:I82"/>
    <mergeCell ref="J77:J82"/>
    <mergeCell ref="I71:I76"/>
    <mergeCell ref="C59:C64"/>
    <mergeCell ref="D59:D64"/>
    <mergeCell ref="E59:E64"/>
    <mergeCell ref="F59:F64"/>
    <mergeCell ref="G59:G64"/>
    <mergeCell ref="H59:H64"/>
    <mergeCell ref="I59:I64"/>
    <mergeCell ref="B17:B22"/>
    <mergeCell ref="C29:C34"/>
    <mergeCell ref="D29:D34"/>
    <mergeCell ref="E29:E34"/>
    <mergeCell ref="F29:F34"/>
    <mergeCell ref="C35:C40"/>
    <mergeCell ref="I35:I40"/>
    <mergeCell ref="E17:E22"/>
    <mergeCell ref="F17:F22"/>
    <mergeCell ref="A71:A76"/>
    <mergeCell ref="C71:C76"/>
    <mergeCell ref="D71:D76"/>
    <mergeCell ref="E71:E76"/>
    <mergeCell ref="F71:F76"/>
    <mergeCell ref="G71:G76"/>
    <mergeCell ref="H71:H76"/>
    <mergeCell ref="A29:A34"/>
    <mergeCell ref="A35:A40"/>
    <mergeCell ref="B59:B64"/>
    <mergeCell ref="B35:B40"/>
    <mergeCell ref="J71:J76"/>
    <mergeCell ref="K71:K76"/>
    <mergeCell ref="L71:L76"/>
    <mergeCell ref="M71:M76"/>
    <mergeCell ref="N71:N76"/>
    <mergeCell ref="O71:O76"/>
    <mergeCell ref="A41:A46"/>
    <mergeCell ref="B41:B46"/>
    <mergeCell ref="C41:C46"/>
    <mergeCell ref="D41:D46"/>
    <mergeCell ref="E41:E46"/>
    <mergeCell ref="F41:F46"/>
    <mergeCell ref="G41:G46"/>
    <mergeCell ref="H41:H46"/>
    <mergeCell ref="I41:I46"/>
    <mergeCell ref="J41:J46"/>
    <mergeCell ref="K41:K46"/>
    <mergeCell ref="L41:L46"/>
    <mergeCell ref="M41:M46"/>
    <mergeCell ref="N41:N46"/>
    <mergeCell ref="O41:O46"/>
    <mergeCell ref="B47:B52"/>
    <mergeCell ref="B53:B58"/>
    <mergeCell ref="A53:A58"/>
    <mergeCell ref="AF9:AF10"/>
    <mergeCell ref="AL9:AL10"/>
    <mergeCell ref="AK9:AK10"/>
    <mergeCell ref="AJ9:AJ10"/>
    <mergeCell ref="AH9:AH10"/>
    <mergeCell ref="AG9:AG10"/>
    <mergeCell ref="A11:A16"/>
    <mergeCell ref="C11:C16"/>
    <mergeCell ref="D11:D16"/>
    <mergeCell ref="E11:E16"/>
    <mergeCell ref="F11:F16"/>
    <mergeCell ref="O11:O16"/>
    <mergeCell ref="J11:J16"/>
    <mergeCell ref="K11:K16"/>
    <mergeCell ref="L11:L16"/>
    <mergeCell ref="M11:M16"/>
    <mergeCell ref="N11:N16"/>
    <mergeCell ref="B11:B16"/>
    <mergeCell ref="S9:X9"/>
    <mergeCell ref="G11:G16"/>
    <mergeCell ref="H11:H16"/>
    <mergeCell ref="I11:I16"/>
    <mergeCell ref="I9:I10"/>
    <mergeCell ref="J9:J10"/>
    <mergeCell ref="AE9:AE10"/>
    <mergeCell ref="P9:P10"/>
    <mergeCell ref="AD9:AD10"/>
    <mergeCell ref="AC9:AC10"/>
    <mergeCell ref="Y9:Y10"/>
    <mergeCell ref="Q9:Q10"/>
    <mergeCell ref="AB9:AB10"/>
    <mergeCell ref="B9:B10"/>
    <mergeCell ref="Z9:Z10"/>
    <mergeCell ref="AA9:AA10"/>
    <mergeCell ref="H9:H10"/>
    <mergeCell ref="C9:C10"/>
    <mergeCell ref="O9:O10"/>
    <mergeCell ref="K9:K10"/>
    <mergeCell ref="L9:L10"/>
    <mergeCell ref="M9:M10"/>
    <mergeCell ref="N9:N10"/>
    <mergeCell ref="R9:R10"/>
    <mergeCell ref="L35:L40"/>
    <mergeCell ref="A6:C6"/>
    <mergeCell ref="A7:C7"/>
    <mergeCell ref="A9:A10"/>
    <mergeCell ref="G9:G10"/>
    <mergeCell ref="F9:F10"/>
    <mergeCell ref="E9:E10"/>
    <mergeCell ref="D9:D10"/>
    <mergeCell ref="D6:O6"/>
    <mergeCell ref="D7:O7"/>
    <mergeCell ref="O29:O34"/>
    <mergeCell ref="N29:N34"/>
    <mergeCell ref="M29:M34"/>
    <mergeCell ref="G17:G22"/>
    <mergeCell ref="H17:H22"/>
    <mergeCell ref="I17:I22"/>
    <mergeCell ref="J17:J22"/>
    <mergeCell ref="K17:K22"/>
    <mergeCell ref="L17:L22"/>
    <mergeCell ref="M17:M22"/>
    <mergeCell ref="N17:N22"/>
    <mergeCell ref="I8:O8"/>
    <mergeCell ref="O17:O22"/>
    <mergeCell ref="A17:A22"/>
    <mergeCell ref="C83:AL83"/>
    <mergeCell ref="N59:N64"/>
    <mergeCell ref="O59:O64"/>
    <mergeCell ref="K59:K64"/>
    <mergeCell ref="L59:L64"/>
    <mergeCell ref="M59:M64"/>
    <mergeCell ref="N23:N28"/>
    <mergeCell ref="O23:O28"/>
    <mergeCell ref="G23:G28"/>
    <mergeCell ref="H23:H28"/>
    <mergeCell ref="I23:I28"/>
    <mergeCell ref="J23:J28"/>
    <mergeCell ref="G65:G70"/>
    <mergeCell ref="H65:H70"/>
    <mergeCell ref="I65:I70"/>
    <mergeCell ref="J59:J64"/>
    <mergeCell ref="M35:M40"/>
    <mergeCell ref="G29:G34"/>
    <mergeCell ref="H29:H34"/>
    <mergeCell ref="I29:I34"/>
    <mergeCell ref="J29:J34"/>
    <mergeCell ref="K29:K34"/>
    <mergeCell ref="C47:C52"/>
    <mergeCell ref="D47:D52"/>
    <mergeCell ref="A23:A28"/>
    <mergeCell ref="C23:C28"/>
    <mergeCell ref="D23:D28"/>
    <mergeCell ref="F23:F28"/>
    <mergeCell ref="A1:E4"/>
    <mergeCell ref="A65:A70"/>
    <mergeCell ref="C65:C70"/>
    <mergeCell ref="D65:D70"/>
    <mergeCell ref="E65:E70"/>
    <mergeCell ref="F65:F70"/>
    <mergeCell ref="A8:H8"/>
    <mergeCell ref="A59:A64"/>
    <mergeCell ref="C53:C58"/>
    <mergeCell ref="D53:D58"/>
    <mergeCell ref="E53:E58"/>
    <mergeCell ref="F53:F58"/>
    <mergeCell ref="G53:G58"/>
    <mergeCell ref="B23:B28"/>
    <mergeCell ref="B29:B34"/>
    <mergeCell ref="A47:A52"/>
    <mergeCell ref="E47:E52"/>
    <mergeCell ref="F47:F52"/>
    <mergeCell ref="N53:N58"/>
    <mergeCell ref="O53:O58"/>
    <mergeCell ref="L23:L28"/>
    <mergeCell ref="M23:M28"/>
    <mergeCell ref="K53:K58"/>
    <mergeCell ref="L53:L58"/>
    <mergeCell ref="M53:M58"/>
    <mergeCell ref="C17:C22"/>
    <mergeCell ref="D17:D22"/>
    <mergeCell ref="E23:E28"/>
    <mergeCell ref="I47:I52"/>
    <mergeCell ref="J47:J52"/>
    <mergeCell ref="H35:H40"/>
    <mergeCell ref="K23:K28"/>
    <mergeCell ref="H53:H58"/>
    <mergeCell ref="I53:I58"/>
    <mergeCell ref="J53:J58"/>
    <mergeCell ref="G47:G52"/>
    <mergeCell ref="H47:H52"/>
    <mergeCell ref="D35:D40"/>
    <mergeCell ref="E35:E40"/>
    <mergeCell ref="F35:F40"/>
    <mergeCell ref="G35:G40"/>
    <mergeCell ref="J35:J40"/>
    <mergeCell ref="AK1:AL1"/>
    <mergeCell ref="AK2:AL2"/>
    <mergeCell ref="AK3:AL3"/>
    <mergeCell ref="AK4:AL4"/>
    <mergeCell ref="F1:AJ4"/>
    <mergeCell ref="K65:K70"/>
    <mergeCell ref="L65:L70"/>
    <mergeCell ref="M65:M70"/>
    <mergeCell ref="N65:N70"/>
    <mergeCell ref="O65:O70"/>
    <mergeCell ref="J65:J70"/>
    <mergeCell ref="AI9:AI10"/>
    <mergeCell ref="P8:X8"/>
    <mergeCell ref="Y8:AE8"/>
    <mergeCell ref="AF8:AL8"/>
    <mergeCell ref="N35:N40"/>
    <mergeCell ref="O35:O40"/>
    <mergeCell ref="K47:K52"/>
    <mergeCell ref="L47:L52"/>
    <mergeCell ref="M47:M52"/>
    <mergeCell ref="N47:N52"/>
    <mergeCell ref="O47:O52"/>
    <mergeCell ref="L29:L34"/>
    <mergeCell ref="K35:K40"/>
  </mergeCells>
  <conditionalFormatting sqref="I11 I29 Z41:Z82">
    <cfRule type="cellIs" dxfId="143" priority="791" operator="equal">
      <formula>"Media"</formula>
    </cfRule>
    <cfRule type="cellIs" dxfId="142" priority="793" operator="equal">
      <formula>"Muy Baja"</formula>
    </cfRule>
    <cfRule type="cellIs" dxfId="141" priority="792" operator="equal">
      <formula>"Baja"</formula>
    </cfRule>
    <cfRule type="cellIs" dxfId="140" priority="790" operator="equal">
      <formula>"Alta"</formula>
    </cfRule>
    <cfRule type="cellIs" dxfId="139" priority="789" operator="equal">
      <formula>"Muy Alta"</formula>
    </cfRule>
  </conditionalFormatting>
  <conditionalFormatting sqref="I17">
    <cfRule type="cellIs" dxfId="138" priority="555" operator="equal">
      <formula>"Muy Baja"</formula>
    </cfRule>
    <cfRule type="cellIs" dxfId="137" priority="551" operator="equal">
      <formula>"Muy Alta"</formula>
    </cfRule>
    <cfRule type="cellIs" dxfId="136" priority="552" operator="equal">
      <formula>"Alta"</formula>
    </cfRule>
    <cfRule type="cellIs" dxfId="135" priority="553" operator="equal">
      <formula>"Media"</formula>
    </cfRule>
    <cfRule type="cellIs" dxfId="134" priority="554" operator="equal">
      <formula>"Baja"</formula>
    </cfRule>
  </conditionalFormatting>
  <conditionalFormatting sqref="I23">
    <cfRule type="cellIs" dxfId="133" priority="579" operator="equal">
      <formula>"Muy Alta"</formula>
    </cfRule>
    <cfRule type="cellIs" dxfId="132" priority="580" operator="equal">
      <formula>"Alta"</formula>
    </cfRule>
    <cfRule type="cellIs" dxfId="131" priority="582" operator="equal">
      <formula>"Baja"</formula>
    </cfRule>
    <cfRule type="cellIs" dxfId="130" priority="581" operator="equal">
      <formula>"Media"</formula>
    </cfRule>
    <cfRule type="cellIs" dxfId="129" priority="583" operator="equal">
      <formula>"Muy Baja"</formula>
    </cfRule>
  </conditionalFormatting>
  <conditionalFormatting sqref="I35">
    <cfRule type="cellIs" dxfId="128" priority="186" operator="equal">
      <formula>"Media"</formula>
    </cfRule>
    <cfRule type="cellIs" dxfId="127" priority="185" operator="equal">
      <formula>"Alta"</formula>
    </cfRule>
    <cfRule type="cellIs" dxfId="126" priority="188" operator="equal">
      <formula>"Muy Baja"</formula>
    </cfRule>
    <cfRule type="cellIs" dxfId="125" priority="184" operator="equal">
      <formula>"Muy Alta"</formula>
    </cfRule>
    <cfRule type="cellIs" dxfId="124" priority="187" operator="equal">
      <formula>"Baja"</formula>
    </cfRule>
  </conditionalFormatting>
  <conditionalFormatting sqref="I41">
    <cfRule type="cellIs" dxfId="123" priority="199" operator="equal">
      <formula>"Alta"</formula>
    </cfRule>
    <cfRule type="cellIs" dxfId="122" priority="198" operator="equal">
      <formula>"Muy Alta"</formula>
    </cfRule>
    <cfRule type="cellIs" dxfId="121" priority="200" operator="equal">
      <formula>"Media"</formula>
    </cfRule>
    <cfRule type="cellIs" dxfId="120" priority="202" operator="equal">
      <formula>"Muy Baja"</formula>
    </cfRule>
    <cfRule type="cellIs" dxfId="119" priority="201" operator="equal">
      <formula>"Baja"</formula>
    </cfRule>
  </conditionalFormatting>
  <conditionalFormatting sqref="I47">
    <cfRule type="cellIs" dxfId="118" priority="156" operator="equal">
      <formula>"Alta"</formula>
    </cfRule>
    <cfRule type="cellIs" dxfId="117" priority="157" operator="equal">
      <formula>"Media"</formula>
    </cfRule>
    <cfRule type="cellIs" dxfId="116" priority="158" operator="equal">
      <formula>"Baja"</formula>
    </cfRule>
    <cfRule type="cellIs" dxfId="115" priority="159" operator="equal">
      <formula>"Muy Baja"</formula>
    </cfRule>
    <cfRule type="cellIs" dxfId="114" priority="155" operator="equal">
      <formula>"Muy Alta"</formula>
    </cfRule>
  </conditionalFormatting>
  <conditionalFormatting sqref="I53">
    <cfRule type="cellIs" dxfId="113" priority="609" operator="equal">
      <formula>"Media"</formula>
    </cfRule>
    <cfRule type="cellIs" dxfId="112" priority="608" operator="equal">
      <formula>"Alta"</formula>
    </cfRule>
    <cfRule type="cellIs" dxfId="111" priority="607" operator="equal">
      <formula>"Muy Alta"</formula>
    </cfRule>
    <cfRule type="cellIs" dxfId="110" priority="610" operator="equal">
      <formula>"Baja"</formula>
    </cfRule>
    <cfRule type="cellIs" dxfId="109" priority="611" operator="equal">
      <formula>"Muy Baja"</formula>
    </cfRule>
  </conditionalFormatting>
  <conditionalFormatting sqref="I59">
    <cfRule type="cellIs" dxfId="108" priority="524" operator="equal">
      <formula>"Alta"</formula>
    </cfRule>
    <cfRule type="cellIs" dxfId="107" priority="527" operator="equal">
      <formula>"Muy Baja"</formula>
    </cfRule>
    <cfRule type="cellIs" dxfId="106" priority="526" operator="equal">
      <formula>"Baja"</formula>
    </cfRule>
    <cfRule type="cellIs" dxfId="105" priority="525" operator="equal">
      <formula>"Media"</formula>
    </cfRule>
    <cfRule type="cellIs" dxfId="104" priority="523" operator="equal">
      <formula>"Muy Alta"</formula>
    </cfRule>
  </conditionalFormatting>
  <conditionalFormatting sqref="I65">
    <cfRule type="cellIs" dxfId="103" priority="499" operator="equal">
      <formula>"Muy Baja"</formula>
    </cfRule>
    <cfRule type="cellIs" dxfId="102" priority="497" operator="equal">
      <formula>"Media"</formula>
    </cfRule>
    <cfRule type="cellIs" dxfId="101" priority="496" operator="equal">
      <formula>"Alta"</formula>
    </cfRule>
    <cfRule type="cellIs" dxfId="100" priority="495" operator="equal">
      <formula>"Muy Alta"</formula>
    </cfRule>
    <cfRule type="cellIs" dxfId="99" priority="498" operator="equal">
      <formula>"Baja"</formula>
    </cfRule>
  </conditionalFormatting>
  <conditionalFormatting sqref="I71">
    <cfRule type="cellIs" dxfId="98" priority="54" operator="equal">
      <formula>"Baja"</formula>
    </cfRule>
    <cfRule type="cellIs" dxfId="97" priority="55" operator="equal">
      <formula>"Muy Baja"</formula>
    </cfRule>
    <cfRule type="cellIs" dxfId="96" priority="52" operator="equal">
      <formula>"Alta"</formula>
    </cfRule>
    <cfRule type="cellIs" dxfId="95" priority="51" operator="equal">
      <formula>"Muy Alta"</formula>
    </cfRule>
    <cfRule type="cellIs" dxfId="94" priority="53" operator="equal">
      <formula>"Media"</formula>
    </cfRule>
  </conditionalFormatting>
  <conditionalFormatting sqref="I77">
    <cfRule type="cellIs" dxfId="93" priority="44" operator="equal">
      <formula>"Media"</formula>
    </cfRule>
    <cfRule type="cellIs" dxfId="92" priority="43" operator="equal">
      <formula>"Alta"</formula>
    </cfRule>
    <cfRule type="cellIs" dxfId="91" priority="42" operator="equal">
      <formula>"Muy Alta"</formula>
    </cfRule>
    <cfRule type="cellIs" dxfId="90" priority="45" operator="equal">
      <formula>"Baja"</formula>
    </cfRule>
    <cfRule type="cellIs" dxfId="89" priority="46" operator="equal">
      <formula>"Muy Baja"</formula>
    </cfRule>
  </conditionalFormatting>
  <conditionalFormatting sqref="L11:L82">
    <cfRule type="containsText" dxfId="88" priority="84" operator="containsText" text="❌">
      <formula>NOT(ISERROR(SEARCH("❌",L11)))</formula>
    </cfRule>
  </conditionalFormatting>
  <conditionalFormatting sqref="M11 M29 AB41:AB82 M59 M65 M71 M77">
    <cfRule type="cellIs" dxfId="87" priority="786" operator="equal">
      <formula>"Moderado"</formula>
    </cfRule>
    <cfRule type="cellIs" dxfId="86" priority="787" operator="equal">
      <formula>"Menor"</formula>
    </cfRule>
    <cfRule type="cellIs" dxfId="85" priority="788" operator="equal">
      <formula>"Leve"</formula>
    </cfRule>
    <cfRule type="cellIs" dxfId="84" priority="784" operator="equal">
      <formula>"Catastrófico"</formula>
    </cfRule>
    <cfRule type="cellIs" dxfId="83" priority="785" operator="equal">
      <formula>"Mayor"</formula>
    </cfRule>
  </conditionalFormatting>
  <conditionalFormatting sqref="M17 M23">
    <cfRule type="cellIs" dxfId="82" priority="37" operator="equal">
      <formula>"Leve"</formula>
    </cfRule>
    <cfRule type="cellIs" dxfId="81" priority="33" operator="equal">
      <formula>"Catastrófico"</formula>
    </cfRule>
    <cfRule type="cellIs" dxfId="80" priority="34" operator="equal">
      <formula>"Mayor"</formula>
    </cfRule>
    <cfRule type="cellIs" dxfId="79" priority="35" operator="equal">
      <formula>"Moderado"</formula>
    </cfRule>
    <cfRule type="cellIs" dxfId="78" priority="36" operator="equal">
      <formula>"Menor"</formula>
    </cfRule>
  </conditionalFormatting>
  <conditionalFormatting sqref="M35">
    <cfRule type="cellIs" dxfId="77" priority="180" operator="equal">
      <formula>"Mayor"</formula>
    </cfRule>
    <cfRule type="cellIs" dxfId="76" priority="183" operator="equal">
      <formula>"Leve"</formula>
    </cfRule>
    <cfRule type="cellIs" dxfId="75" priority="181" operator="equal">
      <formula>"Moderado"</formula>
    </cfRule>
    <cfRule type="cellIs" dxfId="74" priority="179" operator="equal">
      <formula>"Catastrófico"</formula>
    </cfRule>
    <cfRule type="cellIs" dxfId="73" priority="182" operator="equal">
      <formula>"Menor"</formula>
    </cfRule>
  </conditionalFormatting>
  <conditionalFormatting sqref="M41">
    <cfRule type="cellIs" dxfId="72" priority="194" operator="equal">
      <formula>"Mayor"</formula>
    </cfRule>
    <cfRule type="cellIs" dxfId="71" priority="193" operator="equal">
      <formula>"Catastrófico"</formula>
    </cfRule>
    <cfRule type="cellIs" dxfId="70" priority="195" operator="equal">
      <formula>"Moderado"</formula>
    </cfRule>
    <cfRule type="cellIs" dxfId="69" priority="196" operator="equal">
      <formula>"Menor"</formula>
    </cfRule>
    <cfRule type="cellIs" dxfId="68" priority="197" operator="equal">
      <formula>"Leve"</formula>
    </cfRule>
  </conditionalFormatting>
  <conditionalFormatting sqref="M47">
    <cfRule type="cellIs" dxfId="67" priority="154" operator="equal">
      <formula>"Leve"</formula>
    </cfRule>
    <cfRule type="cellIs" dxfId="66" priority="153" operator="equal">
      <formula>"Menor"</formula>
    </cfRule>
    <cfRule type="cellIs" dxfId="65" priority="152" operator="equal">
      <formula>"Moderado"</formula>
    </cfRule>
    <cfRule type="cellIs" dxfId="64" priority="151" operator="equal">
      <formula>"Mayor"</formula>
    </cfRule>
    <cfRule type="cellIs" dxfId="63" priority="150" operator="equal">
      <formula>"Catastrófico"</formula>
    </cfRule>
  </conditionalFormatting>
  <conditionalFormatting sqref="M53">
    <cfRule type="cellIs" dxfId="62" priority="89" operator="equal">
      <formula>"Catastrófico"</formula>
    </cfRule>
    <cfRule type="cellIs" dxfId="61" priority="90" operator="equal">
      <formula>"Mayor"</formula>
    </cfRule>
    <cfRule type="cellIs" dxfId="60" priority="91" operator="equal">
      <formula>"Moderado"</formula>
    </cfRule>
    <cfRule type="cellIs" dxfId="59" priority="92" operator="equal">
      <formula>"Menor"</formula>
    </cfRule>
    <cfRule type="cellIs" dxfId="58" priority="93" operator="equal">
      <formula>"Leve"</formula>
    </cfRule>
  </conditionalFormatting>
  <conditionalFormatting sqref="O11 AD41:AD82">
    <cfRule type="cellIs" dxfId="57" priority="783" operator="equal">
      <formula>"Bajo"</formula>
    </cfRule>
    <cfRule type="cellIs" dxfId="56" priority="782" operator="equal">
      <formula>"Moderado"</formula>
    </cfRule>
    <cfRule type="cellIs" dxfId="55" priority="781" operator="equal">
      <formula>"Alto"</formula>
    </cfRule>
    <cfRule type="cellIs" dxfId="54" priority="780" operator="equal">
      <formula>"Extremo"</formula>
    </cfRule>
  </conditionalFormatting>
  <conditionalFormatting sqref="O17 O23">
    <cfRule type="cellIs" dxfId="53" priority="31" operator="equal">
      <formula>"Moderado"</formula>
    </cfRule>
    <cfRule type="cellIs" dxfId="52" priority="30" operator="equal">
      <formula>"Alto"</formula>
    </cfRule>
    <cfRule type="cellIs" dxfId="51" priority="29" operator="equal">
      <formula>"Extremo"</formula>
    </cfRule>
    <cfRule type="cellIs" dxfId="50" priority="32" operator="equal">
      <formula>"Bajo"</formula>
    </cfRule>
  </conditionalFormatting>
  <conditionalFormatting sqref="O29">
    <cfRule type="cellIs" dxfId="49" priority="713" operator="equal">
      <formula>"Bajo"</formula>
    </cfRule>
    <cfRule type="cellIs" dxfId="48" priority="710" operator="equal">
      <formula>"Extremo"</formula>
    </cfRule>
    <cfRule type="cellIs" dxfId="47" priority="712" operator="equal">
      <formula>"Moderado"</formula>
    </cfRule>
    <cfRule type="cellIs" dxfId="46" priority="711" operator="equal">
      <formula>"Alto"</formula>
    </cfRule>
  </conditionalFormatting>
  <conditionalFormatting sqref="O35">
    <cfRule type="cellIs" dxfId="45" priority="178" operator="equal">
      <formula>"Bajo"</formula>
    </cfRule>
    <cfRule type="cellIs" dxfId="44" priority="177" operator="equal">
      <formula>"Moderado"</formula>
    </cfRule>
    <cfRule type="cellIs" dxfId="43" priority="176" operator="equal">
      <formula>"Alto"</formula>
    </cfRule>
    <cfRule type="cellIs" dxfId="42" priority="175" operator="equal">
      <formula>"Extremo"</formula>
    </cfRule>
  </conditionalFormatting>
  <conditionalFormatting sqref="O41">
    <cfRule type="cellIs" dxfId="41" priority="189" operator="equal">
      <formula>"Extremo"</formula>
    </cfRule>
    <cfRule type="cellIs" dxfId="40" priority="190" operator="equal">
      <formula>"Alto"</formula>
    </cfRule>
    <cfRule type="cellIs" dxfId="39" priority="191" operator="equal">
      <formula>"Moderado"</formula>
    </cfRule>
    <cfRule type="cellIs" dxfId="38" priority="192" operator="equal">
      <formula>"Bajo"</formula>
    </cfRule>
  </conditionalFormatting>
  <conditionalFormatting sqref="O47">
    <cfRule type="cellIs" dxfId="37" priority="146" operator="equal">
      <formula>"Extremo"</formula>
    </cfRule>
    <cfRule type="cellIs" dxfId="36" priority="149" operator="equal">
      <formula>"Bajo"</formula>
    </cfRule>
    <cfRule type="cellIs" dxfId="35" priority="147" operator="equal">
      <formula>"Alto"</formula>
    </cfRule>
    <cfRule type="cellIs" dxfId="34" priority="148" operator="equal">
      <formula>"Moderado"</formula>
    </cfRule>
  </conditionalFormatting>
  <conditionalFormatting sqref="O53">
    <cfRule type="cellIs" dxfId="33" priority="86" operator="equal">
      <formula>"Alto"</formula>
    </cfRule>
    <cfRule type="cellIs" dxfId="32" priority="88" operator="equal">
      <formula>"Bajo"</formula>
    </cfRule>
    <cfRule type="cellIs" dxfId="31" priority="87" operator="equal">
      <formula>"Moderado"</formula>
    </cfRule>
    <cfRule type="cellIs" dxfId="30" priority="85" operator="equal">
      <formula>"Extremo"</formula>
    </cfRule>
  </conditionalFormatting>
  <conditionalFormatting sqref="O59">
    <cfRule type="cellIs" dxfId="29" priority="516" operator="equal">
      <formula>"Moderado"</formula>
    </cfRule>
    <cfRule type="cellIs" dxfId="28" priority="517" operator="equal">
      <formula>"Bajo"</formula>
    </cfRule>
    <cfRule type="cellIs" dxfId="27" priority="515" operator="equal">
      <formula>"Alto"</formula>
    </cfRule>
    <cfRule type="cellIs" dxfId="26" priority="514" operator="equal">
      <formula>"Extremo"</formula>
    </cfRule>
  </conditionalFormatting>
  <conditionalFormatting sqref="O65">
    <cfRule type="cellIs" dxfId="25" priority="489" operator="equal">
      <formula>"Bajo"</formula>
    </cfRule>
    <cfRule type="cellIs" dxfId="24" priority="487" operator="equal">
      <formula>"Alto"</formula>
    </cfRule>
    <cfRule type="cellIs" dxfId="23" priority="488" operator="equal">
      <formula>"Moderado"</formula>
    </cfRule>
    <cfRule type="cellIs" dxfId="22" priority="486" operator="equal">
      <formula>"Extremo"</formula>
    </cfRule>
  </conditionalFormatting>
  <conditionalFormatting sqref="O71">
    <cfRule type="cellIs" dxfId="21" priority="48" operator="equal">
      <formula>"Alto"</formula>
    </cfRule>
    <cfRule type="cellIs" dxfId="20" priority="49" operator="equal">
      <formula>"Moderado"</formula>
    </cfRule>
    <cfRule type="cellIs" dxfId="19" priority="50" operator="equal">
      <formula>"Bajo"</formula>
    </cfRule>
    <cfRule type="cellIs" dxfId="18" priority="47" operator="equal">
      <formula>"Extremo"</formula>
    </cfRule>
  </conditionalFormatting>
  <conditionalFormatting sqref="O77">
    <cfRule type="cellIs" dxfId="17" priority="40" operator="equal">
      <formula>"Moderado"</formula>
    </cfRule>
    <cfRule type="cellIs" dxfId="16" priority="39" operator="equal">
      <formula>"Alto"</formula>
    </cfRule>
    <cfRule type="cellIs" dxfId="15" priority="38" operator="equal">
      <formula>"Extremo"</formula>
    </cfRule>
    <cfRule type="cellIs" dxfId="14" priority="41" operator="equal">
      <formula>"Bajo"</formula>
    </cfRule>
  </conditionalFormatting>
  <conditionalFormatting sqref="Z11:Z35">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B11:AB35">
    <cfRule type="cellIs" dxfId="8" priority="8" operator="equal">
      <formula>"Menor"</formula>
    </cfRule>
    <cfRule type="cellIs" dxfId="7" priority="7" operator="equal">
      <formula>"Moderado"</formula>
    </cfRule>
    <cfRule type="cellIs" dxfId="6" priority="6" operator="equal">
      <formula>"Mayor"</formula>
    </cfRule>
    <cfRule type="cellIs" dxfId="5" priority="5" operator="equal">
      <formula>"Catastrófico"</formula>
    </cfRule>
    <cfRule type="cellIs" dxfId="4" priority="9" operator="equal">
      <formula>"Leve"</formula>
    </cfRule>
  </conditionalFormatting>
  <conditionalFormatting sqref="AD11:AD35">
    <cfRule type="cellIs" dxfId="3" priority="1" operator="equal">
      <formula>"Extremo"</formula>
    </cfRule>
    <cfRule type="cellIs" dxfId="2" priority="2" operator="equal">
      <formula>"Alto"</formula>
    </cfRule>
    <cfRule type="cellIs" dxfId="1" priority="4" operator="equal">
      <formula>"Bajo"</formula>
    </cfRule>
    <cfRule type="cellIs" dxfId="0" priority="3" operator="equal">
      <formula>"Moderado"</formula>
    </cfRule>
  </conditionalFormatting>
  <pageMargins left="0.7" right="0.7" top="0.75" bottom="0.75" header="0.3" footer="0.3"/>
  <pageSetup paperSize="5" scale="16" fitToHeight="0"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AL11:AL12 AL14:AL15 AL29:AL30 AL32:AL33 AL41:AL42 AL44:AL45 AL47:AL48 AL50:AL51 AL53:AL54 AL56:AL57 AL23:AL24 AL26:AL27 AL17:AL18 AL20:AL21 AL59:AL60 AL62:AL63 AL65:AL66 AL68:AL69 AL71:AL72 AL74:AL75 AL77:AL78 AL80:AL81</xm:sqref>
        </x14:dataValidation>
        <x14:dataValidation type="list" allowBlank="1" showInputMessage="1" showErrorMessage="1" xr:uid="{00000000-0002-0000-0100-000000000000}">
          <x14:formula1>
            <xm:f>'Tabla Valoración controles'!$D$8:$D$10</xm:f>
          </x14:formula1>
          <xm:sqref>S42:S46 S48:S52 S30:S34 S11:S28 S57:S58 S60:S82</xm:sqref>
        </x14:dataValidation>
        <x14:dataValidation type="list" allowBlank="1" showInputMessage="1" showErrorMessage="1" xr:uid="{00000000-0002-0000-0100-000001000000}">
          <x14:formula1>
            <xm:f>'Tabla Valoración controles'!$D$11:$D$12</xm:f>
          </x14:formula1>
          <xm:sqref>T42:T46 T48:T52 T30:T34 T11:T28 T57:T58 T60:T82</xm:sqref>
        </x14:dataValidation>
        <x14:dataValidation type="list" allowBlank="1" showInputMessage="1" showErrorMessage="1" xr:uid="{00000000-0002-0000-0100-000002000000}">
          <x14:formula1>
            <xm:f>'Tabla Valoración controles'!$D$13:$D$14</xm:f>
          </x14:formula1>
          <xm:sqref>V42:V46 V48:V52 V30:V34 V11:V28 V57:V58 V60:V82</xm:sqref>
        </x14:dataValidation>
        <x14:dataValidation type="list" allowBlank="1" showInputMessage="1" showErrorMessage="1" xr:uid="{00000000-0002-0000-0100-000003000000}">
          <x14:formula1>
            <xm:f>'Tabla Valoración controles'!$D$15:$D$16</xm:f>
          </x14:formula1>
          <xm:sqref>W42:W46 W48:W52 W30:W34 W11:W28 W57:W58 W60:W82</xm:sqref>
        </x14:dataValidation>
        <x14:dataValidation type="list" allowBlank="1" showInputMessage="1" showErrorMessage="1" xr:uid="{00000000-0002-0000-0100-000005000000}">
          <x14:formula1>
            <xm:f>'Tabla Valoración controles'!$D$17:$D$18</xm:f>
          </x14:formula1>
          <xm:sqref>X42:X46 X48:X52 X30:X34 X11:X28 X57:X58 X60:X82</xm:sqref>
        </x14:dataValidation>
        <x14:dataValidation type="list" allowBlank="1" showInputMessage="1" showErrorMessage="1" xr:uid="{00000000-0002-0000-0100-000006000000}">
          <x14:formula1>
            <xm:f>'Opciones Tratamiento'!$B$13:$B$19</xm:f>
          </x14:formula1>
          <xm:sqref>G59:G82 G11:G34</xm:sqref>
        </x14:dataValidation>
        <x14:dataValidation type="list" allowBlank="1" showInputMessage="1" showErrorMessage="1" xr:uid="{00000000-0002-0000-0100-000007000000}">
          <x14:formula1>
            <xm:f>'Opciones Tratamiento'!$E$2:$E$4</xm:f>
          </x14:formula1>
          <xm:sqref>C11:C28 C59:C82</xm:sqref>
        </x14:dataValidation>
        <x14:dataValidation type="list" allowBlank="1" showInputMessage="1" showErrorMessage="1" xr:uid="{00000000-0002-0000-0100-000008000000}">
          <x14:formula1>
            <xm:f>'Opciones Tratamiento'!$B$2:$B$5</xm:f>
          </x14:formula1>
          <xm:sqref>AE42:AE46 AE48:AE52 AE30:AE34 AE11:AE28 AE57:AE58 AE60:AE82</xm:sqref>
        </x14:dataValidation>
        <x14:dataValidation type="list" allowBlank="1" showInputMessage="1" showErrorMessage="1" xr:uid="{00000000-0002-0000-0100-000009000000}">
          <x14:formula1>
            <xm:f>'Tabla Impacto'!$G$214:$G$225</xm:f>
          </x14:formula1>
          <xm:sqref>K11:K82</xm:sqref>
        </x14:dataValidation>
        <x14:dataValidation type="custom" allowBlank="1" showInputMessage="1" showErrorMessage="1" error="Recuerde que las acciones se generan bajo la medida de mitigar el riesgo" xr:uid="{00000000-0002-0000-0100-00000A000000}">
          <x14:formula1>
            <xm:f>IF(OR(AE11='Opciones Tratamiento'!$B$2,AE11='Opciones Tratamiento'!$B$3,AE11='Opciones Tratamiento'!$B$4),ISBLANK(AE11),ISTEXT(AE11))</xm:f>
          </x14:formula1>
          <xm:sqref>AF48:AF52 AF42:AF46 AF11 AF24:AF28 AF57:AF82 AF13:AF16 AF30:AF34 AF18:AF22</xm:sqref>
        </x14:dataValidation>
        <x14:dataValidation type="custom" allowBlank="1" showInputMessage="1" showErrorMessage="1" error="Recuerde que las acciones se generan bajo la medida de mitigar el riesgo" xr:uid="{00000000-0002-0000-0100-00000B000000}">
          <x14:formula1>
            <xm:f>IF(OR(AE11='Opciones Tratamiento'!$B$2,AE11='Opciones Tratamiento'!$B$3,AE11='Opciones Tratamiento'!$B$4),ISBLANK(AE11),ISTEXT(AE11))</xm:f>
          </x14:formula1>
          <xm:sqref>AG42:AG46 AG48:AG52 AG11 AG24:AG28 AG57:AG82 AG13:AG16 AG30:AG34 AG18:AG22</xm:sqref>
        </x14:dataValidation>
        <x14:dataValidation type="custom" allowBlank="1" showInputMessage="1" showErrorMessage="1" error="Recuerde que las acciones se generan bajo la medida de mitigar el riesgo" xr:uid="{00000000-0002-0000-0100-00000C000000}">
          <x14:formula1>
            <xm:f>IF(OR(AE11='Opciones Tratamiento'!$B$2,AE11='Opciones Tratamiento'!$B$3,AE11='Opciones Tratamiento'!$B$4),ISBLANK(AE11),ISTEXT(AE11))</xm:f>
          </x14:formula1>
          <xm:sqref>AH11:AI36 AH41:AI82</xm:sqref>
        </x14:dataValidation>
        <x14:dataValidation type="custom" allowBlank="1" showInputMessage="1" showErrorMessage="1" error="Recuerde que las acciones se generan bajo la medida de mitigar el riesgo" xr:uid="{00000000-0002-0000-0100-00000D000000}">
          <x14:formula1>
            <xm:f>IF(OR(AE11='Opciones Tratamiento'!$B$2,AE11='Opciones Tratamiento'!$B$3,AE11='Opciones Tratamiento'!$B$4),ISBLANK(AE11),ISTEXT(AE11))</xm:f>
          </x14:formula1>
          <xm:sqref>AJ41:AJ82 AJ11:AJ34</xm:sqref>
        </x14:dataValidation>
        <x14:dataValidation type="custom" allowBlank="1" showInputMessage="1" showErrorMessage="1" error="Recuerde que las acciones se generan bajo la medida de mitigar el riesgo" xr:uid="{00000000-0002-0000-0100-00000E000000}">
          <x14:formula1>
            <xm:f>IF(OR(AE11='Opciones Tratamiento'!$B$2,AE11='Opciones Tratamiento'!$B$3,AE11='Opciones Tratamiento'!$B$4),ISBLANK(AE11),ISTEXT(AE11))</xm:f>
          </x14:formula1>
          <xm:sqref>AK41:AK82 AK11:AK34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16" zoomScale="40" zoomScaleNormal="40" workbookViewId="0">
      <selection activeCell="AS97" sqref="AS97"/>
    </sheetView>
  </sheetViews>
  <sheetFormatPr baseColWidth="10" defaultColWidth="11.42578125" defaultRowHeight="15" x14ac:dyDescent="0.25"/>
  <cols>
    <col min="2" max="39" width="5.7109375" customWidth="1"/>
    <col min="41" max="46" width="5.7109375" customWidth="1"/>
  </cols>
  <sheetData>
    <row r="1" spans="1:9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row>
    <row r="2" spans="1:99" ht="18" customHeight="1" x14ac:dyDescent="0.25">
      <c r="A2" s="41"/>
      <c r="B2" s="425" t="s">
        <v>109</v>
      </c>
      <c r="C2" s="425"/>
      <c r="D2" s="425"/>
      <c r="E2" s="425"/>
      <c r="F2" s="425"/>
      <c r="G2" s="425"/>
      <c r="H2" s="425"/>
      <c r="I2" s="425"/>
      <c r="J2" s="393" t="s">
        <v>17</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row>
    <row r="3" spans="1:99" ht="18.75" customHeight="1" x14ac:dyDescent="0.25">
      <c r="A3" s="41"/>
      <c r="B3" s="425"/>
      <c r="C3" s="425"/>
      <c r="D3" s="425"/>
      <c r="E3" s="425"/>
      <c r="F3" s="425"/>
      <c r="G3" s="425"/>
      <c r="H3" s="425"/>
      <c r="I3" s="425"/>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row>
    <row r="4" spans="1:99" ht="15" customHeight="1" x14ac:dyDescent="0.25">
      <c r="A4" s="41"/>
      <c r="B4" s="425"/>
      <c r="C4" s="425"/>
      <c r="D4" s="425"/>
      <c r="E4" s="425"/>
      <c r="F4" s="425"/>
      <c r="G4" s="425"/>
      <c r="H4" s="425"/>
      <c r="I4" s="425"/>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row>
    <row r="5" spans="1:9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row>
    <row r="6" spans="1:99" ht="15" customHeight="1" x14ac:dyDescent="0.25">
      <c r="A6" s="41"/>
      <c r="B6" s="340" t="s">
        <v>110</v>
      </c>
      <c r="C6" s="340"/>
      <c r="D6" s="341"/>
      <c r="E6" s="378" t="s">
        <v>111</v>
      </c>
      <c r="F6" s="379"/>
      <c r="G6" s="379"/>
      <c r="H6" s="379"/>
      <c r="I6" s="380"/>
      <c r="J6" s="389" t="str">
        <f>IF(AND('Mapa de Riesgos'!$I$11="Muy Alta",'Mapa de Riesgos'!$M$11="Leve"),CONCATENATE("R",'Mapa de Riesgos'!$A$11),"")</f>
        <v/>
      </c>
      <c r="K6" s="390"/>
      <c r="L6" s="390" t="str">
        <f>IF(AND('Mapa de Riesgos'!$I$29="Muy Alta",'Mapa de Riesgos'!$M$29="Leve"),CONCATENATE("R",'Mapa de Riesgos'!$A$29),"")</f>
        <v/>
      </c>
      <c r="M6" s="390"/>
      <c r="N6" s="390" t="str">
        <f>IF(AND('Mapa de Riesgos'!$I$35="Muy Alta",'Mapa de Riesgos'!$M$35="Leve"),CONCATENATE("R",'Mapa de Riesgos'!$A$35),"")</f>
        <v/>
      </c>
      <c r="O6" s="392"/>
      <c r="P6" s="389" t="str">
        <f>IF(AND('Mapa de Riesgos'!$I$11="Muy Alta",'Mapa de Riesgos'!$M$11="Menor"),CONCATENATE("R",'Mapa de Riesgos'!$A$11),"")</f>
        <v/>
      </c>
      <c r="Q6" s="390"/>
      <c r="R6" s="390" t="str">
        <f>IF(AND('Mapa de Riesgos'!$I$29="Muy Alta",'Mapa de Riesgos'!$M$29="Menor"),CONCATENATE("R",'Mapa de Riesgos'!$A$29),"")</f>
        <v/>
      </c>
      <c r="S6" s="390"/>
      <c r="T6" s="390" t="str">
        <f>IF(AND('Mapa de Riesgos'!$I$35="Muy Alta",'Mapa de Riesgos'!$M$35="Menor"),CONCATENATE("R",'Mapa de Riesgos'!$A$35),"")</f>
        <v/>
      </c>
      <c r="U6" s="392"/>
      <c r="V6" s="389" t="str">
        <f>IF(AND('Mapa de Riesgos'!$I$11="Muy Alta",'Mapa de Riesgos'!$M$11="Moderado"),CONCATENATE("R",'Mapa de Riesgos'!$A$11),"")</f>
        <v/>
      </c>
      <c r="W6" s="390"/>
      <c r="X6" s="390" t="str">
        <f>IF(AND('Mapa de Riesgos'!$I$29="Muy Alta",'Mapa de Riesgos'!$M$29="Moderado"),CONCATENATE("R",'Mapa de Riesgos'!$A$29),"")</f>
        <v/>
      </c>
      <c r="Y6" s="390"/>
      <c r="Z6" s="390" t="str">
        <f>IF(AND('Mapa de Riesgos'!$I$35="Muy Alta",'Mapa de Riesgos'!$M$35="Moderado"),CONCATENATE("R",'Mapa de Riesgos'!$A$35),"")</f>
        <v/>
      </c>
      <c r="AA6" s="392"/>
      <c r="AB6" s="389" t="str">
        <f>IF(AND('Mapa de Riesgos'!$I$11="Muy Alta",'Mapa de Riesgos'!$M$11="Mayor"),CONCATENATE("R",'Mapa de Riesgos'!$A$11),"")</f>
        <v/>
      </c>
      <c r="AC6" s="390"/>
      <c r="AD6" s="390" t="str">
        <f>IF(AND('Mapa de Riesgos'!$I$29="Muy Alta",'Mapa de Riesgos'!$M$29="Mayor"),CONCATENATE("R",'Mapa de Riesgos'!$A$29),"")</f>
        <v/>
      </c>
      <c r="AE6" s="390"/>
      <c r="AF6" s="390" t="str">
        <f>IF(AND('Mapa de Riesgos'!$I$35="Muy Alta",'Mapa de Riesgos'!$M$35="Mayor"),CONCATENATE("R",'Mapa de Riesgos'!$A$35),"")</f>
        <v/>
      </c>
      <c r="AG6" s="392"/>
      <c r="AH6" s="404" t="str">
        <f>IF(AND('Mapa de Riesgos'!$I$11="Muy Alta",'Mapa de Riesgos'!$M$11="Catastrófico"),CONCATENATE("R",'Mapa de Riesgos'!$A$11),"")</f>
        <v/>
      </c>
      <c r="AI6" s="405"/>
      <c r="AJ6" s="405" t="str">
        <f>IF(AND('Mapa de Riesgos'!$I$29="Muy Alta",'Mapa de Riesgos'!$M$29="Catastrófico"),CONCATENATE("R",'Mapa de Riesgos'!$A$29),"")</f>
        <v/>
      </c>
      <c r="AK6" s="405"/>
      <c r="AL6" s="405" t="str">
        <f>IF(AND('Mapa de Riesgos'!$I$35="Muy Alta",'Mapa de Riesgos'!$M$35="Catastrófico"),CONCATENATE("R",'Mapa de Riesgos'!$A$35),"")</f>
        <v/>
      </c>
      <c r="AM6" s="406"/>
      <c r="AO6" s="342" t="s">
        <v>112</v>
      </c>
      <c r="AP6" s="343"/>
      <c r="AQ6" s="343"/>
      <c r="AR6" s="343"/>
      <c r="AS6" s="343"/>
      <c r="AT6" s="344"/>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row>
    <row r="7" spans="1:99" ht="15" customHeight="1" x14ac:dyDescent="0.25">
      <c r="A7" s="41"/>
      <c r="B7" s="340"/>
      <c r="C7" s="340"/>
      <c r="D7" s="341"/>
      <c r="E7" s="381"/>
      <c r="F7" s="382"/>
      <c r="G7" s="382"/>
      <c r="H7" s="382"/>
      <c r="I7" s="383"/>
      <c r="J7" s="391"/>
      <c r="K7" s="387"/>
      <c r="L7" s="387"/>
      <c r="M7" s="387"/>
      <c r="N7" s="387"/>
      <c r="O7" s="388"/>
      <c r="P7" s="391"/>
      <c r="Q7" s="387"/>
      <c r="R7" s="387"/>
      <c r="S7" s="387"/>
      <c r="T7" s="387"/>
      <c r="U7" s="388"/>
      <c r="V7" s="391"/>
      <c r="W7" s="387"/>
      <c r="X7" s="387"/>
      <c r="Y7" s="387"/>
      <c r="Z7" s="387"/>
      <c r="AA7" s="388"/>
      <c r="AB7" s="391"/>
      <c r="AC7" s="387"/>
      <c r="AD7" s="387"/>
      <c r="AE7" s="387"/>
      <c r="AF7" s="387"/>
      <c r="AG7" s="388"/>
      <c r="AH7" s="398"/>
      <c r="AI7" s="399"/>
      <c r="AJ7" s="399"/>
      <c r="AK7" s="399"/>
      <c r="AL7" s="399"/>
      <c r="AM7" s="400"/>
      <c r="AN7" s="41"/>
      <c r="AO7" s="345"/>
      <c r="AP7" s="346"/>
      <c r="AQ7" s="346"/>
      <c r="AR7" s="346"/>
      <c r="AS7" s="346"/>
      <c r="AT7" s="347"/>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row>
    <row r="8" spans="1:99" ht="15" customHeight="1" x14ac:dyDescent="0.25">
      <c r="A8" s="41"/>
      <c r="B8" s="340"/>
      <c r="C8" s="340"/>
      <c r="D8" s="341"/>
      <c r="E8" s="381"/>
      <c r="F8" s="382"/>
      <c r="G8" s="382"/>
      <c r="H8" s="382"/>
      <c r="I8" s="383"/>
      <c r="J8" s="391" t="str">
        <f>IF(AND('Mapa de Riesgos'!$I$47="Muy Alta",'Mapa de Riesgos'!$M$47="Leve"),CONCATENATE("R",'Mapa de Riesgos'!$A$47),"")</f>
        <v/>
      </c>
      <c r="K8" s="387"/>
      <c r="L8" s="387" t="e">
        <f>IF(AND('Mapa de Riesgos'!#REF!="Muy Alta",'Mapa de Riesgos'!#REF!="Leve"),CONCATENATE("R",'Mapa de Riesgos'!#REF!),"")</f>
        <v>#REF!</v>
      </c>
      <c r="M8" s="387"/>
      <c r="N8" s="387" t="str">
        <f>IF(AND('Mapa de Riesgos'!$I$53="Muy Alta",'Mapa de Riesgos'!$M$53="Leve"),CONCATENATE("R",'Mapa de Riesgos'!$A$53),"")</f>
        <v/>
      </c>
      <c r="O8" s="388"/>
      <c r="P8" s="391" t="str">
        <f>IF(AND('Mapa de Riesgos'!$I$47="Muy Alta",'Mapa de Riesgos'!$M$47="Menor"),CONCATENATE("R",'Mapa de Riesgos'!$A$47),"")</f>
        <v/>
      </c>
      <c r="Q8" s="387"/>
      <c r="R8" s="387" t="e">
        <f>IF(AND('Mapa de Riesgos'!#REF!="Muy Alta",'Mapa de Riesgos'!#REF!="Menor"),CONCATENATE("R",'Mapa de Riesgos'!#REF!),"")</f>
        <v>#REF!</v>
      </c>
      <c r="S8" s="387"/>
      <c r="T8" s="387" t="str">
        <f>IF(AND('Mapa de Riesgos'!$I$53="Muy Alta",'Mapa de Riesgos'!$M$53="Menor"),CONCATENATE("R",'Mapa de Riesgos'!$A$53),"")</f>
        <v/>
      </c>
      <c r="U8" s="388"/>
      <c r="V8" s="391" t="str">
        <f>IF(AND('Mapa de Riesgos'!$I$47="Muy Alta",'Mapa de Riesgos'!$M$47="Moderado"),CONCATENATE("R",'Mapa de Riesgos'!$A$47),"")</f>
        <v/>
      </c>
      <c r="W8" s="387"/>
      <c r="X8" s="387" t="e">
        <f>IF(AND('Mapa de Riesgos'!#REF!="Muy Alta",'Mapa de Riesgos'!#REF!="Moderado"),CONCATENATE("R",'Mapa de Riesgos'!#REF!),"")</f>
        <v>#REF!</v>
      </c>
      <c r="Y8" s="387"/>
      <c r="Z8" s="387" t="str">
        <f>IF(AND('Mapa de Riesgos'!$I$53="Muy Alta",'Mapa de Riesgos'!$M$53="Moderado"),CONCATENATE("R",'Mapa de Riesgos'!$A$53),"")</f>
        <v/>
      </c>
      <c r="AA8" s="388"/>
      <c r="AB8" s="391" t="str">
        <f>IF(AND('Mapa de Riesgos'!$I$47="Muy Alta",'Mapa de Riesgos'!$M$47="Mayor"),CONCATENATE("R",'Mapa de Riesgos'!$A$47),"")</f>
        <v/>
      </c>
      <c r="AC8" s="387"/>
      <c r="AD8" s="387" t="e">
        <f>IF(AND('Mapa de Riesgos'!#REF!="Muy Alta",'Mapa de Riesgos'!#REF!="Mayor"),CONCATENATE("R",'Mapa de Riesgos'!#REF!),"")</f>
        <v>#REF!</v>
      </c>
      <c r="AE8" s="387"/>
      <c r="AF8" s="387" t="str">
        <f>IF(AND('Mapa de Riesgos'!$I$53="Muy Alta",'Mapa de Riesgos'!$M$53="Mayor"),CONCATENATE("R",'Mapa de Riesgos'!$A$53),"")</f>
        <v/>
      </c>
      <c r="AG8" s="388"/>
      <c r="AH8" s="398" t="str">
        <f>IF(AND('Mapa de Riesgos'!$I$47="Muy Alta",'Mapa de Riesgos'!$M$47="Catastrófico"),CONCATENATE("R",'Mapa de Riesgos'!$A$47),"")</f>
        <v/>
      </c>
      <c r="AI8" s="399"/>
      <c r="AJ8" s="399" t="e">
        <f>IF(AND('Mapa de Riesgos'!#REF!="Muy Alta",'Mapa de Riesgos'!#REF!="Catastrófico"),CONCATENATE("R",'Mapa de Riesgos'!#REF!),"")</f>
        <v>#REF!</v>
      </c>
      <c r="AK8" s="399"/>
      <c r="AL8" s="399" t="str">
        <f>IF(AND('Mapa de Riesgos'!$I$53="Muy Alta",'Mapa de Riesgos'!$M$53="Catastrófico"),CONCATENATE("R",'Mapa de Riesgos'!$A$53),"")</f>
        <v/>
      </c>
      <c r="AM8" s="400"/>
      <c r="AN8" s="41"/>
      <c r="AO8" s="345"/>
      <c r="AP8" s="346"/>
      <c r="AQ8" s="346"/>
      <c r="AR8" s="346"/>
      <c r="AS8" s="346"/>
      <c r="AT8" s="347"/>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row>
    <row r="9" spans="1:99" ht="15" customHeight="1" x14ac:dyDescent="0.25">
      <c r="A9" s="41"/>
      <c r="B9" s="340"/>
      <c r="C9" s="340"/>
      <c r="D9" s="341"/>
      <c r="E9" s="381"/>
      <c r="F9" s="382"/>
      <c r="G9" s="382"/>
      <c r="H9" s="382"/>
      <c r="I9" s="383"/>
      <c r="J9" s="391"/>
      <c r="K9" s="387"/>
      <c r="L9" s="387"/>
      <c r="M9" s="387"/>
      <c r="N9" s="387"/>
      <c r="O9" s="388"/>
      <c r="P9" s="391"/>
      <c r="Q9" s="387"/>
      <c r="R9" s="387"/>
      <c r="S9" s="387"/>
      <c r="T9" s="387"/>
      <c r="U9" s="388"/>
      <c r="V9" s="391"/>
      <c r="W9" s="387"/>
      <c r="X9" s="387"/>
      <c r="Y9" s="387"/>
      <c r="Z9" s="387"/>
      <c r="AA9" s="388"/>
      <c r="AB9" s="391"/>
      <c r="AC9" s="387"/>
      <c r="AD9" s="387"/>
      <c r="AE9" s="387"/>
      <c r="AF9" s="387"/>
      <c r="AG9" s="388"/>
      <c r="AH9" s="398"/>
      <c r="AI9" s="399"/>
      <c r="AJ9" s="399"/>
      <c r="AK9" s="399"/>
      <c r="AL9" s="399"/>
      <c r="AM9" s="400"/>
      <c r="AN9" s="41"/>
      <c r="AO9" s="345"/>
      <c r="AP9" s="346"/>
      <c r="AQ9" s="346"/>
      <c r="AR9" s="346"/>
      <c r="AS9" s="346"/>
      <c r="AT9" s="347"/>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row>
    <row r="10" spans="1:99" ht="15" customHeight="1" x14ac:dyDescent="0.25">
      <c r="A10" s="41"/>
      <c r="B10" s="340"/>
      <c r="C10" s="340"/>
      <c r="D10" s="341"/>
      <c r="E10" s="381"/>
      <c r="F10" s="382"/>
      <c r="G10" s="382"/>
      <c r="H10" s="382"/>
      <c r="I10" s="383"/>
      <c r="J10" s="391" t="str">
        <f>IF(AND('Mapa de Riesgos'!$I$23="Muy Alta",'Mapa de Riesgos'!$M$23="Leve"),CONCATENATE("R",'Mapa de Riesgos'!$A$23),"")</f>
        <v/>
      </c>
      <c r="K10" s="387"/>
      <c r="L10" s="387" t="str">
        <f>IF(AND('Mapa de Riesgos'!$I$17="Muy Alta",'Mapa de Riesgos'!$M$17="Leve"),CONCATENATE("R",'Mapa de Riesgos'!$A$17),"")</f>
        <v/>
      </c>
      <c r="M10" s="387"/>
      <c r="N10" s="387" t="str">
        <f>IF(AND('Mapa de Riesgos'!$I$59="Muy Alta",'Mapa de Riesgos'!$M$59="Leve"),CONCATENATE("R",'Mapa de Riesgos'!$A$59),"")</f>
        <v/>
      </c>
      <c r="O10" s="388"/>
      <c r="P10" s="391" t="str">
        <f>IF(AND('Mapa de Riesgos'!$I$23="Muy Alta",'Mapa de Riesgos'!$M$23="Menor"),CONCATENATE("R",'Mapa de Riesgos'!$A$23),"")</f>
        <v/>
      </c>
      <c r="Q10" s="387"/>
      <c r="R10" s="387" t="str">
        <f>IF(AND('Mapa de Riesgos'!$I$17="Muy Alta",'Mapa de Riesgos'!$M$17="Menor"),CONCATENATE("R",'Mapa de Riesgos'!$A$17),"")</f>
        <v/>
      </c>
      <c r="S10" s="387"/>
      <c r="T10" s="387" t="str">
        <f>IF(AND('Mapa de Riesgos'!$I$59="Muy Alta",'Mapa de Riesgos'!$M$59="Menor"),CONCATENATE("R",'Mapa de Riesgos'!$A$59),"")</f>
        <v/>
      </c>
      <c r="U10" s="388"/>
      <c r="V10" s="391" t="str">
        <f>IF(AND('Mapa de Riesgos'!$I$23="Muy Alta",'Mapa de Riesgos'!$M$23="Moderado"),CONCATENATE("R",'Mapa de Riesgos'!$A$23),"")</f>
        <v/>
      </c>
      <c r="W10" s="387"/>
      <c r="X10" s="387" t="str">
        <f>IF(AND('Mapa de Riesgos'!$I$17="Muy Alta",'Mapa de Riesgos'!$M$17="Moderado"),CONCATENATE("R",'Mapa de Riesgos'!$A$17),"")</f>
        <v/>
      </c>
      <c r="Y10" s="387"/>
      <c r="Z10" s="387" t="str">
        <f>IF(AND('Mapa de Riesgos'!$I$59="Muy Alta",'Mapa de Riesgos'!$M$59="Moderado"),CONCATENATE("R",'Mapa de Riesgos'!$A$59),"")</f>
        <v/>
      </c>
      <c r="AA10" s="388"/>
      <c r="AB10" s="391" t="str">
        <f>IF(AND('Mapa de Riesgos'!$I$23="Muy Alta",'Mapa de Riesgos'!$M$23="Mayor"),CONCATENATE("R",'Mapa de Riesgos'!$A$23),"")</f>
        <v/>
      </c>
      <c r="AC10" s="387"/>
      <c r="AD10" s="387" t="str">
        <f>IF(AND('Mapa de Riesgos'!$I$17="Muy Alta",'Mapa de Riesgos'!$M$17="Mayor"),CONCATENATE("R",'Mapa de Riesgos'!$A$17),"")</f>
        <v/>
      </c>
      <c r="AE10" s="387"/>
      <c r="AF10" s="387" t="str">
        <f>IF(AND('Mapa de Riesgos'!$I$59="Muy Alta",'Mapa de Riesgos'!$M$59="Mayor"),CONCATENATE("R",'Mapa de Riesgos'!$A$59),"")</f>
        <v/>
      </c>
      <c r="AG10" s="388"/>
      <c r="AH10" s="398" t="str">
        <f>IF(AND('Mapa de Riesgos'!$I$23="Muy Alta",'Mapa de Riesgos'!$M$23="Catastrófico"),CONCATENATE("R",'Mapa de Riesgos'!$A$23),"")</f>
        <v/>
      </c>
      <c r="AI10" s="399"/>
      <c r="AJ10" s="399" t="str">
        <f>IF(AND('Mapa de Riesgos'!$I$17="Muy Alta",'Mapa de Riesgos'!$M$17="Catastrófico"),CONCATENATE("R",'Mapa de Riesgos'!$A$17),"")</f>
        <v/>
      </c>
      <c r="AK10" s="399"/>
      <c r="AL10" s="399" t="str">
        <f>IF(AND('Mapa de Riesgos'!$I$59="Muy Alta",'Mapa de Riesgos'!$M$59="Catastrófico"),CONCATENATE("R",'Mapa de Riesgos'!$A$59),"")</f>
        <v/>
      </c>
      <c r="AM10" s="400"/>
      <c r="AN10" s="41"/>
      <c r="AO10" s="345"/>
      <c r="AP10" s="346"/>
      <c r="AQ10" s="346"/>
      <c r="AR10" s="346"/>
      <c r="AS10" s="346"/>
      <c r="AT10" s="347"/>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row>
    <row r="11" spans="1:99" ht="15" customHeight="1" x14ac:dyDescent="0.25">
      <c r="A11" s="41"/>
      <c r="B11" s="340"/>
      <c r="C11" s="340"/>
      <c r="D11" s="341"/>
      <c r="E11" s="381"/>
      <c r="F11" s="382"/>
      <c r="G11" s="382"/>
      <c r="H11" s="382"/>
      <c r="I11" s="383"/>
      <c r="J11" s="391"/>
      <c r="K11" s="387"/>
      <c r="L11" s="387"/>
      <c r="M11" s="387"/>
      <c r="N11" s="387"/>
      <c r="O11" s="388"/>
      <c r="P11" s="391"/>
      <c r="Q11" s="387"/>
      <c r="R11" s="387"/>
      <c r="S11" s="387"/>
      <c r="T11" s="387"/>
      <c r="U11" s="388"/>
      <c r="V11" s="391"/>
      <c r="W11" s="387"/>
      <c r="X11" s="387"/>
      <c r="Y11" s="387"/>
      <c r="Z11" s="387"/>
      <c r="AA11" s="388"/>
      <c r="AB11" s="391"/>
      <c r="AC11" s="387"/>
      <c r="AD11" s="387"/>
      <c r="AE11" s="387"/>
      <c r="AF11" s="387"/>
      <c r="AG11" s="388"/>
      <c r="AH11" s="398"/>
      <c r="AI11" s="399"/>
      <c r="AJ11" s="399"/>
      <c r="AK11" s="399"/>
      <c r="AL11" s="399"/>
      <c r="AM11" s="400"/>
      <c r="AN11" s="41"/>
      <c r="AO11" s="345"/>
      <c r="AP11" s="346"/>
      <c r="AQ11" s="346"/>
      <c r="AR11" s="346"/>
      <c r="AS11" s="346"/>
      <c r="AT11" s="347"/>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row>
    <row r="12" spans="1:99" ht="15" customHeight="1" x14ac:dyDescent="0.25">
      <c r="A12" s="41"/>
      <c r="B12" s="340"/>
      <c r="C12" s="340"/>
      <c r="D12" s="341"/>
      <c r="E12" s="381"/>
      <c r="F12" s="382"/>
      <c r="G12" s="382"/>
      <c r="H12" s="382"/>
      <c r="I12" s="383"/>
      <c r="J12" s="391" t="str">
        <f>IF(AND('Mapa de Riesgos'!$I$65="Muy Alta",'Mapa de Riesgos'!$M$65="Leve"),CONCATENATE("R",'Mapa de Riesgos'!$A$65),"")</f>
        <v/>
      </c>
      <c r="K12" s="387"/>
      <c r="L12" s="387" t="str">
        <f>IF(AND('Mapa de Riesgos'!$I$83="Muy Alta",'Mapa de Riesgos'!$M$83="Leve"),CONCATENATE("R",'Mapa de Riesgos'!$A$83),"")</f>
        <v/>
      </c>
      <c r="M12" s="387"/>
      <c r="N12" s="387" t="str">
        <f>IF(AND('Mapa de Riesgos'!$I$89="Muy Alta",'Mapa de Riesgos'!$M$89="Leve"),CONCATENATE("R",'Mapa de Riesgos'!$A$89),"")</f>
        <v/>
      </c>
      <c r="O12" s="388"/>
      <c r="P12" s="391" t="str">
        <f>IF(AND('Mapa de Riesgos'!$I$65="Muy Alta",'Mapa de Riesgos'!$M$65="Menor"),CONCATENATE("R",'Mapa de Riesgos'!$A$65),"")</f>
        <v/>
      </c>
      <c r="Q12" s="387"/>
      <c r="R12" s="387" t="str">
        <f>IF(AND('Mapa de Riesgos'!$I$83="Muy Alta",'Mapa de Riesgos'!$M$83="Menor"),CONCATENATE("R",'Mapa de Riesgos'!$A$83),"")</f>
        <v/>
      </c>
      <c r="S12" s="387"/>
      <c r="T12" s="387" t="str">
        <f>IF(AND('Mapa de Riesgos'!$I$89="Muy Alta",'Mapa de Riesgos'!$M$89="Menor"),CONCATENATE("R",'Mapa de Riesgos'!$A$89),"")</f>
        <v/>
      </c>
      <c r="U12" s="388"/>
      <c r="V12" s="391" t="str">
        <f>IF(AND('Mapa de Riesgos'!$I$65="Muy Alta",'Mapa de Riesgos'!$M$65="Moderado"),CONCATENATE("R",'Mapa de Riesgos'!$A$65),"")</f>
        <v/>
      </c>
      <c r="W12" s="387"/>
      <c r="X12" s="387" t="str">
        <f>IF(AND('Mapa de Riesgos'!$I$83="Muy Alta",'Mapa de Riesgos'!$M$83="Moderado"),CONCATENATE("R",'Mapa de Riesgos'!$A$83),"")</f>
        <v/>
      </c>
      <c r="Y12" s="387"/>
      <c r="Z12" s="387" t="str">
        <f>IF(AND('Mapa de Riesgos'!$I$89="Muy Alta",'Mapa de Riesgos'!$M$89="Moderado"),CONCATENATE("R",'Mapa de Riesgos'!$A$89),"")</f>
        <v/>
      </c>
      <c r="AA12" s="388"/>
      <c r="AB12" s="391" t="str">
        <f>IF(AND('Mapa de Riesgos'!$I$65="Muy Alta",'Mapa de Riesgos'!$M$65="Mayor"),CONCATENATE("R",'Mapa de Riesgos'!$A$65),"")</f>
        <v/>
      </c>
      <c r="AC12" s="387"/>
      <c r="AD12" s="387" t="str">
        <f>IF(AND('Mapa de Riesgos'!$I$83="Muy Alta",'Mapa de Riesgos'!$M$83="Mayor"),CONCATENATE("R",'Mapa de Riesgos'!$A$83),"")</f>
        <v/>
      </c>
      <c r="AE12" s="387"/>
      <c r="AF12" s="387" t="str">
        <f>IF(AND('Mapa de Riesgos'!$I$89="Muy Alta",'Mapa de Riesgos'!$M$89="Mayor"),CONCATENATE("R",'Mapa de Riesgos'!$A$89),"")</f>
        <v/>
      </c>
      <c r="AG12" s="388"/>
      <c r="AH12" s="398" t="str">
        <f>IF(AND('Mapa de Riesgos'!$I$65="Muy Alta",'Mapa de Riesgos'!$M$65="Catastrófico"),CONCATENATE("R",'Mapa de Riesgos'!$A$65),"")</f>
        <v/>
      </c>
      <c r="AI12" s="399"/>
      <c r="AJ12" s="399" t="str">
        <f>IF(AND('Mapa de Riesgos'!$I$83="Muy Alta",'Mapa de Riesgos'!$M$83="Catastrófico"),CONCATENATE("R",'Mapa de Riesgos'!$A$83),"")</f>
        <v/>
      </c>
      <c r="AK12" s="399"/>
      <c r="AL12" s="399" t="str">
        <f>IF(AND('Mapa de Riesgos'!$I$89="Muy Alta",'Mapa de Riesgos'!$M$89="Catastrófico"),CONCATENATE("R",'Mapa de Riesgos'!$A$89),"")</f>
        <v/>
      </c>
      <c r="AM12" s="400"/>
      <c r="AN12" s="41"/>
      <c r="AO12" s="345"/>
      <c r="AP12" s="346"/>
      <c r="AQ12" s="346"/>
      <c r="AR12" s="346"/>
      <c r="AS12" s="346"/>
      <c r="AT12" s="347"/>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row>
    <row r="13" spans="1:99" ht="15.75" customHeight="1" thickBot="1" x14ac:dyDescent="0.3">
      <c r="A13" s="41"/>
      <c r="B13" s="340"/>
      <c r="C13" s="340"/>
      <c r="D13" s="341"/>
      <c r="E13" s="384"/>
      <c r="F13" s="385"/>
      <c r="G13" s="385"/>
      <c r="H13" s="385"/>
      <c r="I13" s="386"/>
      <c r="J13" s="391"/>
      <c r="K13" s="387"/>
      <c r="L13" s="387"/>
      <c r="M13" s="387"/>
      <c r="N13" s="387"/>
      <c r="O13" s="388"/>
      <c r="P13" s="391"/>
      <c r="Q13" s="387"/>
      <c r="R13" s="387"/>
      <c r="S13" s="387"/>
      <c r="T13" s="387"/>
      <c r="U13" s="388"/>
      <c r="V13" s="391"/>
      <c r="W13" s="387"/>
      <c r="X13" s="387"/>
      <c r="Y13" s="387"/>
      <c r="Z13" s="387"/>
      <c r="AA13" s="388"/>
      <c r="AB13" s="391"/>
      <c r="AC13" s="387"/>
      <c r="AD13" s="387"/>
      <c r="AE13" s="387"/>
      <c r="AF13" s="387"/>
      <c r="AG13" s="388"/>
      <c r="AH13" s="401"/>
      <c r="AI13" s="402"/>
      <c r="AJ13" s="402"/>
      <c r="AK13" s="402"/>
      <c r="AL13" s="402"/>
      <c r="AM13" s="403"/>
      <c r="AN13" s="41"/>
      <c r="AO13" s="348"/>
      <c r="AP13" s="349"/>
      <c r="AQ13" s="349"/>
      <c r="AR13" s="349"/>
      <c r="AS13" s="349"/>
      <c r="AT13" s="350"/>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row>
    <row r="14" spans="1:99" ht="15" customHeight="1" x14ac:dyDescent="0.25">
      <c r="A14" s="41"/>
      <c r="B14" s="340"/>
      <c r="C14" s="340"/>
      <c r="D14" s="341"/>
      <c r="E14" s="378" t="s">
        <v>113</v>
      </c>
      <c r="F14" s="379"/>
      <c r="G14" s="379"/>
      <c r="H14" s="379"/>
      <c r="I14" s="379"/>
      <c r="J14" s="413" t="str">
        <f>IF(AND('Mapa de Riesgos'!$I$11="Alta",'Mapa de Riesgos'!$M$11="Leve"),CONCATENATE("R",'Mapa de Riesgos'!$A$11),"")</f>
        <v/>
      </c>
      <c r="K14" s="414"/>
      <c r="L14" s="414" t="str">
        <f>IF(AND('Mapa de Riesgos'!$I$29="Alta",'Mapa de Riesgos'!$M$29="Leve"),CONCATENATE("R",'Mapa de Riesgos'!$A$29),"")</f>
        <v/>
      </c>
      <c r="M14" s="414"/>
      <c r="N14" s="414" t="str">
        <f>IF(AND('Mapa de Riesgos'!$I$35="Alta",'Mapa de Riesgos'!$M$35="Leve"),CONCATENATE("R",'Mapa de Riesgos'!$A$35),"")</f>
        <v/>
      </c>
      <c r="O14" s="415"/>
      <c r="P14" s="413" t="str">
        <f>IF(AND('Mapa de Riesgos'!$I$11="Alta",'Mapa de Riesgos'!$M$11="Menor"),CONCATENATE("R",'Mapa de Riesgos'!$A$11),"")</f>
        <v/>
      </c>
      <c r="Q14" s="414"/>
      <c r="R14" s="414" t="str">
        <f>IF(AND('Mapa de Riesgos'!$I$29="Alta",'Mapa de Riesgos'!$M$29="Menor"),CONCATENATE("R",'Mapa de Riesgos'!$A$29),"")</f>
        <v/>
      </c>
      <c r="S14" s="414"/>
      <c r="T14" s="414" t="str">
        <f>IF(AND('Mapa de Riesgos'!$I$35="Alta",'Mapa de Riesgos'!$M$35="Menor"),CONCATENATE("R",'Mapa de Riesgos'!$A$35),"")</f>
        <v/>
      </c>
      <c r="U14" s="415"/>
      <c r="V14" s="389" t="str">
        <f>IF(AND('Mapa de Riesgos'!$I$11="Alta",'Mapa de Riesgos'!$M$11="Moderado"),CONCATENATE("R",'Mapa de Riesgos'!$A$11),"")</f>
        <v/>
      </c>
      <c r="W14" s="390"/>
      <c r="X14" s="390" t="str">
        <f>IF(AND('Mapa de Riesgos'!$I$29="Alta",'Mapa de Riesgos'!$M$29="Moderado"),CONCATENATE("R",'Mapa de Riesgos'!$A$29),"")</f>
        <v/>
      </c>
      <c r="Y14" s="390"/>
      <c r="Z14" s="390" t="str">
        <f>IF(AND('Mapa de Riesgos'!$I$35="Alta",'Mapa de Riesgos'!$M$35="Moderado"),CONCATENATE("R",'Mapa de Riesgos'!$A$35),"")</f>
        <v/>
      </c>
      <c r="AA14" s="392"/>
      <c r="AB14" s="389" t="str">
        <f>IF(AND('Mapa de Riesgos'!$I$11="Alta",'Mapa de Riesgos'!$M$11="Mayor"),CONCATENATE("R",'Mapa de Riesgos'!$A$11),"")</f>
        <v/>
      </c>
      <c r="AC14" s="390"/>
      <c r="AD14" s="390" t="str">
        <f>IF(AND('Mapa de Riesgos'!$I$29="Alta",'Mapa de Riesgos'!$M$29="Mayor"),CONCATENATE("R",'Mapa de Riesgos'!$A$29),"")</f>
        <v/>
      </c>
      <c r="AE14" s="390"/>
      <c r="AF14" s="390" t="str">
        <f>IF(AND('Mapa de Riesgos'!$I$35="Alta",'Mapa de Riesgos'!$M$35="Mayor"),CONCATENATE("R",'Mapa de Riesgos'!$A$35),"")</f>
        <v/>
      </c>
      <c r="AG14" s="392"/>
      <c r="AH14" s="404" t="str">
        <f>IF(AND('Mapa de Riesgos'!$I$11="Alta",'Mapa de Riesgos'!$M$11="Catastrófico"),CONCATENATE("R",'Mapa de Riesgos'!$A$11),"")</f>
        <v/>
      </c>
      <c r="AI14" s="405"/>
      <c r="AJ14" s="405" t="str">
        <f>IF(AND('Mapa de Riesgos'!$I$29="Alta",'Mapa de Riesgos'!$M$29="Catastrófico"),CONCATENATE("R",'Mapa de Riesgos'!$A$29),"")</f>
        <v/>
      </c>
      <c r="AK14" s="405"/>
      <c r="AL14" s="405" t="str">
        <f>IF(AND('Mapa de Riesgos'!$I$35="Alta",'Mapa de Riesgos'!$M$35="Catastrófico"),CONCATENATE("R",'Mapa de Riesgos'!$A$35),"")</f>
        <v/>
      </c>
      <c r="AM14" s="406"/>
      <c r="AN14" s="41"/>
      <c r="AO14" s="351" t="s">
        <v>114</v>
      </c>
      <c r="AP14" s="352"/>
      <c r="AQ14" s="352"/>
      <c r="AR14" s="352"/>
      <c r="AS14" s="352"/>
      <c r="AT14" s="353"/>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row>
    <row r="15" spans="1:99" ht="15" customHeight="1" x14ac:dyDescent="0.25">
      <c r="A15" s="41"/>
      <c r="B15" s="340"/>
      <c r="C15" s="340"/>
      <c r="D15" s="341"/>
      <c r="E15" s="381"/>
      <c r="F15" s="382"/>
      <c r="G15" s="382"/>
      <c r="H15" s="382"/>
      <c r="I15" s="382"/>
      <c r="J15" s="407"/>
      <c r="K15" s="408"/>
      <c r="L15" s="408"/>
      <c r="M15" s="408"/>
      <c r="N15" s="408"/>
      <c r="O15" s="409"/>
      <c r="P15" s="407"/>
      <c r="Q15" s="408"/>
      <c r="R15" s="408"/>
      <c r="S15" s="408"/>
      <c r="T15" s="408"/>
      <c r="U15" s="409"/>
      <c r="V15" s="391"/>
      <c r="W15" s="387"/>
      <c r="X15" s="387"/>
      <c r="Y15" s="387"/>
      <c r="Z15" s="387"/>
      <c r="AA15" s="388"/>
      <c r="AB15" s="391"/>
      <c r="AC15" s="387"/>
      <c r="AD15" s="387"/>
      <c r="AE15" s="387"/>
      <c r="AF15" s="387"/>
      <c r="AG15" s="388"/>
      <c r="AH15" s="398"/>
      <c r="AI15" s="399"/>
      <c r="AJ15" s="399"/>
      <c r="AK15" s="399"/>
      <c r="AL15" s="399"/>
      <c r="AM15" s="400"/>
      <c r="AN15" s="41"/>
      <c r="AO15" s="354"/>
      <c r="AP15" s="355"/>
      <c r="AQ15" s="355"/>
      <c r="AR15" s="355"/>
      <c r="AS15" s="355"/>
      <c r="AT15" s="356"/>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row>
    <row r="16" spans="1:99" ht="15" customHeight="1" x14ac:dyDescent="0.25">
      <c r="A16" s="41"/>
      <c r="B16" s="340"/>
      <c r="C16" s="340"/>
      <c r="D16" s="341"/>
      <c r="E16" s="381"/>
      <c r="F16" s="382"/>
      <c r="G16" s="382"/>
      <c r="H16" s="382"/>
      <c r="I16" s="382"/>
      <c r="J16" s="407" t="str">
        <f>IF(AND('Mapa de Riesgos'!$I$47="Alta",'Mapa de Riesgos'!$M$47="Leve"),CONCATENATE("R",'Mapa de Riesgos'!$A$47),"")</f>
        <v/>
      </c>
      <c r="K16" s="408"/>
      <c r="L16" s="408" t="e">
        <f>IF(AND('Mapa de Riesgos'!#REF!="Alta",'Mapa de Riesgos'!#REF!="Leve"),CONCATENATE("R",'Mapa de Riesgos'!#REF!),"")</f>
        <v>#REF!</v>
      </c>
      <c r="M16" s="408"/>
      <c r="N16" s="408" t="str">
        <f>IF(AND('Mapa de Riesgos'!$I$53="Alta",'Mapa de Riesgos'!$M$53="Leve"),CONCATENATE("R",'Mapa de Riesgos'!$A$53),"")</f>
        <v/>
      </c>
      <c r="O16" s="409"/>
      <c r="P16" s="407" t="str">
        <f>IF(AND('Mapa de Riesgos'!$I$47="Alta",'Mapa de Riesgos'!$M$47="Menor"),CONCATENATE("R",'Mapa de Riesgos'!$A$47),"")</f>
        <v/>
      </c>
      <c r="Q16" s="408"/>
      <c r="R16" s="408" t="e">
        <f>IF(AND('Mapa de Riesgos'!#REF!="Alta",'Mapa de Riesgos'!#REF!="Menor"),CONCATENATE("R",'Mapa de Riesgos'!#REF!),"")</f>
        <v>#REF!</v>
      </c>
      <c r="S16" s="408"/>
      <c r="T16" s="408" t="str">
        <f>IF(AND('Mapa de Riesgos'!$I$53="Alta",'Mapa de Riesgos'!$M$53="Menor"),CONCATENATE("R",'Mapa de Riesgos'!$A$53),"")</f>
        <v/>
      </c>
      <c r="U16" s="409"/>
      <c r="V16" s="391" t="str">
        <f>IF(AND('Mapa de Riesgos'!$I$47="Alta",'Mapa de Riesgos'!$M$47="Moderado"),CONCATENATE("R",'Mapa de Riesgos'!$A$47),"")</f>
        <v/>
      </c>
      <c r="W16" s="387"/>
      <c r="X16" s="387" t="e">
        <f>IF(AND('Mapa de Riesgos'!#REF!="Alta",'Mapa de Riesgos'!#REF!="Moderado"),CONCATENATE("R",'Mapa de Riesgos'!#REF!),"")</f>
        <v>#REF!</v>
      </c>
      <c r="Y16" s="387"/>
      <c r="Z16" s="387" t="str">
        <f>IF(AND('Mapa de Riesgos'!$I$53="Alta",'Mapa de Riesgos'!$M$53="Moderado"),CONCATENATE("R",'Mapa de Riesgos'!$A$53),"")</f>
        <v/>
      </c>
      <c r="AA16" s="388"/>
      <c r="AB16" s="391" t="str">
        <f>IF(AND('Mapa de Riesgos'!$I$47="Alta",'Mapa de Riesgos'!$M$47="Mayor"),CONCATENATE("R",'Mapa de Riesgos'!$A$47),"")</f>
        <v/>
      </c>
      <c r="AC16" s="387"/>
      <c r="AD16" s="387" t="e">
        <f>IF(AND('Mapa de Riesgos'!#REF!="Alta",'Mapa de Riesgos'!#REF!="Mayor"),CONCATENATE("R",'Mapa de Riesgos'!#REF!),"")</f>
        <v>#REF!</v>
      </c>
      <c r="AE16" s="387"/>
      <c r="AF16" s="387" t="str">
        <f>IF(AND('Mapa de Riesgos'!$I$53="Alta",'Mapa de Riesgos'!$M$53="Mayor"),CONCATENATE("R",'Mapa de Riesgos'!$A$53),"")</f>
        <v/>
      </c>
      <c r="AG16" s="388"/>
      <c r="AH16" s="398" t="str">
        <f>IF(AND('Mapa de Riesgos'!$I$47="Alta",'Mapa de Riesgos'!$M$47="Catastrófico"),CONCATENATE("R",'Mapa de Riesgos'!$A$47),"")</f>
        <v/>
      </c>
      <c r="AI16" s="399"/>
      <c r="AJ16" s="399" t="e">
        <f>IF(AND('Mapa de Riesgos'!#REF!="Alta",'Mapa de Riesgos'!#REF!="Catastrófico"),CONCATENATE("R",'Mapa de Riesgos'!#REF!),"")</f>
        <v>#REF!</v>
      </c>
      <c r="AK16" s="399"/>
      <c r="AL16" s="399" t="str">
        <f>IF(AND('Mapa de Riesgos'!$I$53="Alta",'Mapa de Riesgos'!$M$53="Catastrófico"),CONCATENATE("R",'Mapa de Riesgos'!$A$53),"")</f>
        <v/>
      </c>
      <c r="AM16" s="400"/>
      <c r="AN16" s="41"/>
      <c r="AO16" s="354"/>
      <c r="AP16" s="355"/>
      <c r="AQ16" s="355"/>
      <c r="AR16" s="355"/>
      <c r="AS16" s="355"/>
      <c r="AT16" s="356"/>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row>
    <row r="17" spans="1:80" ht="15" customHeight="1" x14ac:dyDescent="0.25">
      <c r="A17" s="41"/>
      <c r="B17" s="340"/>
      <c r="C17" s="340"/>
      <c r="D17" s="341"/>
      <c r="E17" s="381"/>
      <c r="F17" s="382"/>
      <c r="G17" s="382"/>
      <c r="H17" s="382"/>
      <c r="I17" s="382"/>
      <c r="J17" s="407"/>
      <c r="K17" s="408"/>
      <c r="L17" s="408"/>
      <c r="M17" s="408"/>
      <c r="N17" s="408"/>
      <c r="O17" s="409"/>
      <c r="P17" s="407"/>
      <c r="Q17" s="408"/>
      <c r="R17" s="408"/>
      <c r="S17" s="408"/>
      <c r="T17" s="408"/>
      <c r="U17" s="409"/>
      <c r="V17" s="391"/>
      <c r="W17" s="387"/>
      <c r="X17" s="387"/>
      <c r="Y17" s="387"/>
      <c r="Z17" s="387"/>
      <c r="AA17" s="388"/>
      <c r="AB17" s="391"/>
      <c r="AC17" s="387"/>
      <c r="AD17" s="387"/>
      <c r="AE17" s="387"/>
      <c r="AF17" s="387"/>
      <c r="AG17" s="388"/>
      <c r="AH17" s="398"/>
      <c r="AI17" s="399"/>
      <c r="AJ17" s="399"/>
      <c r="AK17" s="399"/>
      <c r="AL17" s="399"/>
      <c r="AM17" s="400"/>
      <c r="AN17" s="41"/>
      <c r="AO17" s="354"/>
      <c r="AP17" s="355"/>
      <c r="AQ17" s="355"/>
      <c r="AR17" s="355"/>
      <c r="AS17" s="355"/>
      <c r="AT17" s="356"/>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row>
    <row r="18" spans="1:80" ht="15" customHeight="1" x14ac:dyDescent="0.25">
      <c r="A18" s="41"/>
      <c r="B18" s="340"/>
      <c r="C18" s="340"/>
      <c r="D18" s="341"/>
      <c r="E18" s="381"/>
      <c r="F18" s="382"/>
      <c r="G18" s="382"/>
      <c r="H18" s="382"/>
      <c r="I18" s="382"/>
      <c r="J18" s="407" t="str">
        <f>IF(AND('Mapa de Riesgos'!$I$23="Alta",'Mapa de Riesgos'!$M$23="Leve"),CONCATENATE("R",'Mapa de Riesgos'!$A$23),"")</f>
        <v/>
      </c>
      <c r="K18" s="408"/>
      <c r="L18" s="408" t="str">
        <f>IF(AND('Mapa de Riesgos'!$I$17="Alta",'Mapa de Riesgos'!$M$17="Leve"),CONCATENATE("R",'Mapa de Riesgos'!$A$17),"")</f>
        <v/>
      </c>
      <c r="M18" s="408"/>
      <c r="N18" s="408" t="str">
        <f>IF(AND('Mapa de Riesgos'!$I$59="Alta",'Mapa de Riesgos'!$M$59="Leve"),CONCATENATE("R",'Mapa de Riesgos'!$A$59),"")</f>
        <v/>
      </c>
      <c r="O18" s="409"/>
      <c r="P18" s="407" t="str">
        <f>IF(AND('Mapa de Riesgos'!$I$23="Alta",'Mapa de Riesgos'!$M$23="Menor"),CONCATENATE("R",'Mapa de Riesgos'!$A$23),"")</f>
        <v/>
      </c>
      <c r="Q18" s="408"/>
      <c r="R18" s="408" t="str">
        <f>IF(AND('Mapa de Riesgos'!$I$17="Alta",'Mapa de Riesgos'!$M$17="Menor"),CONCATENATE("R",'Mapa de Riesgos'!$A$17),"")</f>
        <v/>
      </c>
      <c r="S18" s="408"/>
      <c r="T18" s="408" t="str">
        <f>IF(AND('Mapa de Riesgos'!$I$59="Alta",'Mapa de Riesgos'!$M$59="Menor"),CONCATENATE("R",'Mapa de Riesgos'!$A$59),"")</f>
        <v/>
      </c>
      <c r="U18" s="409"/>
      <c r="V18" s="391" t="str">
        <f>IF(AND('Mapa de Riesgos'!$I$23="Alta",'Mapa de Riesgos'!$M$23="Moderado"),CONCATENATE("R",'Mapa de Riesgos'!$A$23),"")</f>
        <v/>
      </c>
      <c r="W18" s="387"/>
      <c r="X18" s="387" t="str">
        <f>IF(AND('Mapa de Riesgos'!$I$17="Alta",'Mapa de Riesgos'!$M$17="Moderado"),CONCATENATE("R",'Mapa de Riesgos'!$A$17),"")</f>
        <v/>
      </c>
      <c r="Y18" s="387"/>
      <c r="Z18" s="387" t="str">
        <f>IF(AND('Mapa de Riesgos'!$I$59="Alta",'Mapa de Riesgos'!$M$59="Moderado"),CONCATENATE("R",'Mapa de Riesgos'!$A$59),"")</f>
        <v/>
      </c>
      <c r="AA18" s="388"/>
      <c r="AB18" s="391" t="str">
        <f>IF(AND('Mapa de Riesgos'!$I$23="Alta",'Mapa de Riesgos'!$M$23="Mayor"),CONCATENATE("R",'Mapa de Riesgos'!$A$23),"")</f>
        <v/>
      </c>
      <c r="AC18" s="387"/>
      <c r="AD18" s="387" t="str">
        <f>IF(AND('Mapa de Riesgos'!$I$17="Alta",'Mapa de Riesgos'!$M$17="Mayor"),CONCATENATE("R",'Mapa de Riesgos'!$A$17),"")</f>
        <v/>
      </c>
      <c r="AE18" s="387"/>
      <c r="AF18" s="387" t="str">
        <f>IF(AND('Mapa de Riesgos'!$I$59="Alta",'Mapa de Riesgos'!$M$59="Mayor"),CONCATENATE("R",'Mapa de Riesgos'!$A$59),"")</f>
        <v/>
      </c>
      <c r="AG18" s="388"/>
      <c r="AH18" s="398" t="str">
        <f>IF(AND('Mapa de Riesgos'!$I$23="Alta",'Mapa de Riesgos'!$M$23="Catastrófico"),CONCATENATE("R",'Mapa de Riesgos'!$A$23),"")</f>
        <v/>
      </c>
      <c r="AI18" s="399"/>
      <c r="AJ18" s="399" t="str">
        <f>IF(AND('Mapa de Riesgos'!$I$17="Alta",'Mapa de Riesgos'!$M$17="Catastrófico"),CONCATENATE("R",'Mapa de Riesgos'!$A$17),"")</f>
        <v/>
      </c>
      <c r="AK18" s="399"/>
      <c r="AL18" s="399" t="str">
        <f>IF(AND('Mapa de Riesgos'!$I$59="Alta",'Mapa de Riesgos'!$M$59="Catastrófico"),CONCATENATE("R",'Mapa de Riesgos'!$A$59),"")</f>
        <v/>
      </c>
      <c r="AM18" s="400"/>
      <c r="AN18" s="41"/>
      <c r="AO18" s="354"/>
      <c r="AP18" s="355"/>
      <c r="AQ18" s="355"/>
      <c r="AR18" s="355"/>
      <c r="AS18" s="355"/>
      <c r="AT18" s="356"/>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row>
    <row r="19" spans="1:80" ht="15" customHeight="1" x14ac:dyDescent="0.25">
      <c r="A19" s="41"/>
      <c r="B19" s="340"/>
      <c r="C19" s="340"/>
      <c r="D19" s="341"/>
      <c r="E19" s="381"/>
      <c r="F19" s="382"/>
      <c r="G19" s="382"/>
      <c r="H19" s="382"/>
      <c r="I19" s="382"/>
      <c r="J19" s="407"/>
      <c r="K19" s="408"/>
      <c r="L19" s="408"/>
      <c r="M19" s="408"/>
      <c r="N19" s="408"/>
      <c r="O19" s="409"/>
      <c r="P19" s="407"/>
      <c r="Q19" s="408"/>
      <c r="R19" s="408"/>
      <c r="S19" s="408"/>
      <c r="T19" s="408"/>
      <c r="U19" s="409"/>
      <c r="V19" s="391"/>
      <c r="W19" s="387"/>
      <c r="X19" s="387"/>
      <c r="Y19" s="387"/>
      <c r="Z19" s="387"/>
      <c r="AA19" s="388"/>
      <c r="AB19" s="391"/>
      <c r="AC19" s="387"/>
      <c r="AD19" s="387"/>
      <c r="AE19" s="387"/>
      <c r="AF19" s="387"/>
      <c r="AG19" s="388"/>
      <c r="AH19" s="398"/>
      <c r="AI19" s="399"/>
      <c r="AJ19" s="399"/>
      <c r="AK19" s="399"/>
      <c r="AL19" s="399"/>
      <c r="AM19" s="400"/>
      <c r="AN19" s="41"/>
      <c r="AO19" s="354"/>
      <c r="AP19" s="355"/>
      <c r="AQ19" s="355"/>
      <c r="AR19" s="355"/>
      <c r="AS19" s="355"/>
      <c r="AT19" s="356"/>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row>
    <row r="20" spans="1:80" ht="15" customHeight="1" x14ac:dyDescent="0.25">
      <c r="A20" s="41"/>
      <c r="B20" s="340"/>
      <c r="C20" s="340"/>
      <c r="D20" s="341"/>
      <c r="E20" s="381"/>
      <c r="F20" s="382"/>
      <c r="G20" s="382"/>
      <c r="H20" s="382"/>
      <c r="I20" s="382"/>
      <c r="J20" s="407" t="str">
        <f>IF(AND('Mapa de Riesgos'!$I$65="Alta",'Mapa de Riesgos'!$M$65="Leve"),CONCATENATE("R",'Mapa de Riesgos'!$A$65),"")</f>
        <v/>
      </c>
      <c r="K20" s="408"/>
      <c r="L20" s="408" t="str">
        <f>IF(AND('Mapa de Riesgos'!$I$83="Alta",'Mapa de Riesgos'!$M$83="Leve"),CONCATENATE("R",'Mapa de Riesgos'!$A$83),"")</f>
        <v/>
      </c>
      <c r="M20" s="408"/>
      <c r="N20" s="408" t="str">
        <f>IF(AND('Mapa de Riesgos'!$I$89="Alta",'Mapa de Riesgos'!$M$89="Leve"),CONCATENATE("R",'Mapa de Riesgos'!$A$89),"")</f>
        <v/>
      </c>
      <c r="O20" s="409"/>
      <c r="P20" s="407" t="str">
        <f>IF(AND('Mapa de Riesgos'!$I$65="Alta",'Mapa de Riesgos'!$M$65="Menor"),CONCATENATE("R",'Mapa de Riesgos'!$A$65),"")</f>
        <v/>
      </c>
      <c r="Q20" s="408"/>
      <c r="R20" s="408" t="str">
        <f>IF(AND('Mapa de Riesgos'!$I$83="Alta",'Mapa de Riesgos'!$M$83="Menor"),CONCATENATE("R",'Mapa de Riesgos'!$A$83),"")</f>
        <v/>
      </c>
      <c r="S20" s="408"/>
      <c r="T20" s="408" t="str">
        <f>IF(AND('Mapa de Riesgos'!$I$89="Alta",'Mapa de Riesgos'!$M$89="Menor"),CONCATENATE("R",'Mapa de Riesgos'!$A$89),"")</f>
        <v/>
      </c>
      <c r="U20" s="409"/>
      <c r="V20" s="391" t="str">
        <f>IF(AND('Mapa de Riesgos'!$I$65="Alta",'Mapa de Riesgos'!$M$65="Moderado"),CONCATENATE("R",'Mapa de Riesgos'!$A$65),"")</f>
        <v/>
      </c>
      <c r="W20" s="387"/>
      <c r="X20" s="387" t="str">
        <f>IF(AND('Mapa de Riesgos'!$I$83="Alta",'Mapa de Riesgos'!$M$83="Moderado"),CONCATENATE("R",'Mapa de Riesgos'!$A$83),"")</f>
        <v/>
      </c>
      <c r="Y20" s="387"/>
      <c r="Z20" s="387" t="str">
        <f>IF(AND('Mapa de Riesgos'!$I$89="Alta",'Mapa de Riesgos'!$M$89="Moderado"),CONCATENATE("R",'Mapa de Riesgos'!$A$89),"")</f>
        <v/>
      </c>
      <c r="AA20" s="388"/>
      <c r="AB20" s="391" t="str">
        <f>IF(AND('Mapa de Riesgos'!$I$65="Alta",'Mapa de Riesgos'!$M$65="Mayor"),CONCATENATE("R",'Mapa de Riesgos'!$A$65),"")</f>
        <v/>
      </c>
      <c r="AC20" s="387"/>
      <c r="AD20" s="387" t="str">
        <f>IF(AND('Mapa de Riesgos'!$I$83="Alta",'Mapa de Riesgos'!$M$83="Mayor"),CONCATENATE("R",'Mapa de Riesgos'!$A$83),"")</f>
        <v/>
      </c>
      <c r="AE20" s="387"/>
      <c r="AF20" s="387" t="str">
        <f>IF(AND('Mapa de Riesgos'!$I$89="Alta",'Mapa de Riesgos'!$M$89="Mayor"),CONCATENATE("R",'Mapa de Riesgos'!$A$89),"")</f>
        <v/>
      </c>
      <c r="AG20" s="388"/>
      <c r="AH20" s="398" t="str">
        <f>IF(AND('Mapa de Riesgos'!$I$65="Alta",'Mapa de Riesgos'!$M$65="Catastrófico"),CONCATENATE("R",'Mapa de Riesgos'!$A$65),"")</f>
        <v/>
      </c>
      <c r="AI20" s="399"/>
      <c r="AJ20" s="399" t="str">
        <f>IF(AND('Mapa de Riesgos'!$I$83="Alta",'Mapa de Riesgos'!$M$83="Catastrófico"),CONCATENATE("R",'Mapa de Riesgos'!$A$83),"")</f>
        <v/>
      </c>
      <c r="AK20" s="399"/>
      <c r="AL20" s="399" t="str">
        <f>IF(AND('Mapa de Riesgos'!$I$89="Alta",'Mapa de Riesgos'!$M$89="Catastrófico"),CONCATENATE("R",'Mapa de Riesgos'!$A$89),"")</f>
        <v/>
      </c>
      <c r="AM20" s="400"/>
      <c r="AN20" s="41"/>
      <c r="AO20" s="354"/>
      <c r="AP20" s="355"/>
      <c r="AQ20" s="355"/>
      <c r="AR20" s="355"/>
      <c r="AS20" s="355"/>
      <c r="AT20" s="356"/>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row>
    <row r="21" spans="1:80" ht="15.75" customHeight="1" thickBot="1" x14ac:dyDescent="0.3">
      <c r="A21" s="41"/>
      <c r="B21" s="340"/>
      <c r="C21" s="340"/>
      <c r="D21" s="341"/>
      <c r="E21" s="384"/>
      <c r="F21" s="385"/>
      <c r="G21" s="385"/>
      <c r="H21" s="385"/>
      <c r="I21" s="385"/>
      <c r="J21" s="410"/>
      <c r="K21" s="411"/>
      <c r="L21" s="411"/>
      <c r="M21" s="411"/>
      <c r="N21" s="411"/>
      <c r="O21" s="412"/>
      <c r="P21" s="410"/>
      <c r="Q21" s="411"/>
      <c r="R21" s="411"/>
      <c r="S21" s="411"/>
      <c r="T21" s="411"/>
      <c r="U21" s="412"/>
      <c r="V21" s="395"/>
      <c r="W21" s="396"/>
      <c r="X21" s="396"/>
      <c r="Y21" s="396"/>
      <c r="Z21" s="396"/>
      <c r="AA21" s="397"/>
      <c r="AB21" s="395"/>
      <c r="AC21" s="396"/>
      <c r="AD21" s="396"/>
      <c r="AE21" s="396"/>
      <c r="AF21" s="396"/>
      <c r="AG21" s="397"/>
      <c r="AH21" s="401"/>
      <c r="AI21" s="402"/>
      <c r="AJ21" s="402"/>
      <c r="AK21" s="402"/>
      <c r="AL21" s="402"/>
      <c r="AM21" s="403"/>
      <c r="AN21" s="41"/>
      <c r="AO21" s="357"/>
      <c r="AP21" s="358"/>
      <c r="AQ21" s="358"/>
      <c r="AR21" s="358"/>
      <c r="AS21" s="358"/>
      <c r="AT21" s="359"/>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row>
    <row r="22" spans="1:80" x14ac:dyDescent="0.25">
      <c r="A22" s="41"/>
      <c r="B22" s="340"/>
      <c r="C22" s="340"/>
      <c r="D22" s="341"/>
      <c r="E22" s="378" t="s">
        <v>115</v>
      </c>
      <c r="F22" s="379"/>
      <c r="G22" s="379"/>
      <c r="H22" s="379"/>
      <c r="I22" s="380"/>
      <c r="J22" s="413" t="str">
        <f>IF(AND('Mapa de Riesgos'!$I$11="Media",'Mapa de Riesgos'!$M$11="Leve"),CONCATENATE("R",'Mapa de Riesgos'!$A$11),"")</f>
        <v/>
      </c>
      <c r="K22" s="414"/>
      <c r="L22" s="414" t="str">
        <f>IF(AND('Mapa de Riesgos'!$I$29="Media",'Mapa de Riesgos'!$M$29="Leve"),CONCATENATE("R",'Mapa de Riesgos'!$A$29),"")</f>
        <v/>
      </c>
      <c r="M22" s="414"/>
      <c r="N22" s="414" t="str">
        <f>IF(AND('Mapa de Riesgos'!$I$35="Media",'Mapa de Riesgos'!$M$35="Leve"),CONCATENATE("R",'Mapa de Riesgos'!$A$35),"")</f>
        <v/>
      </c>
      <c r="O22" s="415"/>
      <c r="P22" s="413" t="str">
        <f>IF(AND('Mapa de Riesgos'!$I$11="Media",'Mapa de Riesgos'!$M$11="Menor"),CONCATENATE("R",'Mapa de Riesgos'!$A$11),"")</f>
        <v/>
      </c>
      <c r="Q22" s="414"/>
      <c r="R22" s="414" t="str">
        <f>IF(AND('Mapa de Riesgos'!$I$29="Media",'Mapa de Riesgos'!$M$29="Menor"),CONCATENATE("R",'Mapa de Riesgos'!$A$29),"")</f>
        <v/>
      </c>
      <c r="S22" s="414"/>
      <c r="T22" s="414" t="str">
        <f>IF(AND('Mapa de Riesgos'!$I$35="Media",'Mapa de Riesgos'!$M$35="Menor"),CONCATENATE("R",'Mapa de Riesgos'!$A$35),"")</f>
        <v/>
      </c>
      <c r="U22" s="415"/>
      <c r="V22" s="413" t="str">
        <f>IF(AND('Mapa de Riesgos'!$I$11="Media",'Mapa de Riesgos'!$M$11="Moderado"),CONCATENATE("R",'Mapa de Riesgos'!$A$11),"")</f>
        <v/>
      </c>
      <c r="W22" s="414"/>
      <c r="X22" s="414" t="str">
        <f>IF(AND('Mapa de Riesgos'!$I$29="Media",'Mapa de Riesgos'!$M$29="Moderado"),CONCATENATE("R",'Mapa de Riesgos'!$A$29),"")</f>
        <v/>
      </c>
      <c r="Y22" s="414"/>
      <c r="Z22" s="414" t="str">
        <f>IF(AND('Mapa de Riesgos'!$I$35="Media",'Mapa de Riesgos'!$M$35="Moderado"),CONCATENATE("R",'Mapa de Riesgos'!$A$35),"")</f>
        <v/>
      </c>
      <c r="AA22" s="415"/>
      <c r="AB22" s="389" t="str">
        <f>IF(AND('Mapa de Riesgos'!$I$11="Media",'Mapa de Riesgos'!$M$11="Mayor"),CONCATENATE("R",'Mapa de Riesgos'!$A$11),"")</f>
        <v/>
      </c>
      <c r="AC22" s="390"/>
      <c r="AD22" s="390" t="str">
        <f>IF(AND('Mapa de Riesgos'!$I$29="Media",'Mapa de Riesgos'!$M$29="Mayor"),CONCATENATE("R",'Mapa de Riesgos'!$A$29),"")</f>
        <v/>
      </c>
      <c r="AE22" s="390"/>
      <c r="AF22" s="390" t="str">
        <f>IF(AND('Mapa de Riesgos'!$I$35="Media",'Mapa de Riesgos'!$M$35="Mayor"),CONCATENATE("R",'Mapa de Riesgos'!$A$35),"")</f>
        <v/>
      </c>
      <c r="AG22" s="392"/>
      <c r="AH22" s="404" t="str">
        <f>IF(AND('Mapa de Riesgos'!$I$11="Media",'Mapa de Riesgos'!$M$11="Catastrófico"),CONCATENATE("R",'Mapa de Riesgos'!$A$11),"")</f>
        <v/>
      </c>
      <c r="AI22" s="405"/>
      <c r="AJ22" s="405" t="str">
        <f>IF(AND('Mapa de Riesgos'!$I$29="Media",'Mapa de Riesgos'!$M$29="Catastrófico"),CONCATENATE("R",'Mapa de Riesgos'!$A$29),"")</f>
        <v/>
      </c>
      <c r="AK22" s="405"/>
      <c r="AL22" s="405" t="str">
        <f>IF(AND('Mapa de Riesgos'!$I$35="Media",'Mapa de Riesgos'!$M$35="Catastrófico"),CONCATENATE("R",'Mapa de Riesgos'!$A$35),"")</f>
        <v/>
      </c>
      <c r="AM22" s="406"/>
      <c r="AN22" s="41"/>
      <c r="AO22" s="360" t="s">
        <v>116</v>
      </c>
      <c r="AP22" s="361"/>
      <c r="AQ22" s="361"/>
      <c r="AR22" s="361"/>
      <c r="AS22" s="361"/>
      <c r="AT22" s="362"/>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row>
    <row r="23" spans="1:80" x14ac:dyDescent="0.25">
      <c r="A23" s="41"/>
      <c r="B23" s="340"/>
      <c r="C23" s="340"/>
      <c r="D23" s="341"/>
      <c r="E23" s="381"/>
      <c r="F23" s="382"/>
      <c r="G23" s="382"/>
      <c r="H23" s="382"/>
      <c r="I23" s="383"/>
      <c r="J23" s="407"/>
      <c r="K23" s="408"/>
      <c r="L23" s="408"/>
      <c r="M23" s="408"/>
      <c r="N23" s="408"/>
      <c r="O23" s="409"/>
      <c r="P23" s="407"/>
      <c r="Q23" s="408"/>
      <c r="R23" s="408"/>
      <c r="S23" s="408"/>
      <c r="T23" s="408"/>
      <c r="U23" s="409"/>
      <c r="V23" s="407"/>
      <c r="W23" s="408"/>
      <c r="X23" s="408"/>
      <c r="Y23" s="408"/>
      <c r="Z23" s="408"/>
      <c r="AA23" s="409"/>
      <c r="AB23" s="391"/>
      <c r="AC23" s="387"/>
      <c r="AD23" s="387"/>
      <c r="AE23" s="387"/>
      <c r="AF23" s="387"/>
      <c r="AG23" s="388"/>
      <c r="AH23" s="398"/>
      <c r="AI23" s="399"/>
      <c r="AJ23" s="399"/>
      <c r="AK23" s="399"/>
      <c r="AL23" s="399"/>
      <c r="AM23" s="400"/>
      <c r="AN23" s="41"/>
      <c r="AO23" s="363"/>
      <c r="AP23" s="364"/>
      <c r="AQ23" s="364"/>
      <c r="AR23" s="364"/>
      <c r="AS23" s="364"/>
      <c r="AT23" s="365"/>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row>
    <row r="24" spans="1:80" x14ac:dyDescent="0.25">
      <c r="A24" s="41"/>
      <c r="B24" s="340"/>
      <c r="C24" s="340"/>
      <c r="D24" s="341"/>
      <c r="E24" s="381"/>
      <c r="F24" s="382"/>
      <c r="G24" s="382"/>
      <c r="H24" s="382"/>
      <c r="I24" s="383"/>
      <c r="J24" s="407" t="str">
        <f>IF(AND('Mapa de Riesgos'!$I$47="Media",'Mapa de Riesgos'!$M$47="Leve"),CONCATENATE("R",'Mapa de Riesgos'!$A$47),"")</f>
        <v/>
      </c>
      <c r="K24" s="408"/>
      <c r="L24" s="408" t="e">
        <f>IF(AND('Mapa de Riesgos'!#REF!="Media",'Mapa de Riesgos'!#REF!="Leve"),CONCATENATE("R",'Mapa de Riesgos'!#REF!),"")</f>
        <v>#REF!</v>
      </c>
      <c r="M24" s="408"/>
      <c r="N24" s="408" t="str">
        <f>IF(AND('Mapa de Riesgos'!$I$53="Media",'Mapa de Riesgos'!$M$53="Leve"),CONCATENATE("R",'Mapa de Riesgos'!$A$53),"")</f>
        <v/>
      </c>
      <c r="O24" s="409"/>
      <c r="P24" s="407" t="str">
        <f>IF(AND('Mapa de Riesgos'!$I$47="Media",'Mapa de Riesgos'!$M$47="Menor"),CONCATENATE("R",'Mapa de Riesgos'!$A$47),"")</f>
        <v/>
      </c>
      <c r="Q24" s="408"/>
      <c r="R24" s="408" t="e">
        <f>IF(AND('Mapa de Riesgos'!#REF!="Media",'Mapa de Riesgos'!#REF!="Menor"),CONCATENATE("R",'Mapa de Riesgos'!#REF!),"")</f>
        <v>#REF!</v>
      </c>
      <c r="S24" s="408"/>
      <c r="T24" s="408" t="str">
        <f>IF(AND('Mapa de Riesgos'!$I$53="Media",'Mapa de Riesgos'!$M$53="Menor"),CONCATENATE("R",'Mapa de Riesgos'!$A$53),"")</f>
        <v/>
      </c>
      <c r="U24" s="409"/>
      <c r="V24" s="407" t="str">
        <f>IF(AND('Mapa de Riesgos'!$I$47="Media",'Mapa de Riesgos'!$M$47="Moderado"),CONCATENATE("R",'Mapa de Riesgos'!$A$47),"")</f>
        <v/>
      </c>
      <c r="W24" s="408"/>
      <c r="X24" s="408" t="e">
        <f>IF(AND('Mapa de Riesgos'!#REF!="Media",'Mapa de Riesgos'!#REF!="Moderado"),CONCATENATE("R",'Mapa de Riesgos'!#REF!),"")</f>
        <v>#REF!</v>
      </c>
      <c r="Y24" s="408"/>
      <c r="Z24" s="408" t="str">
        <f>IF(AND('Mapa de Riesgos'!$I$53="Media",'Mapa de Riesgos'!$M$53="Moderado"),CONCATENATE("R",'Mapa de Riesgos'!$A$53),"")</f>
        <v/>
      </c>
      <c r="AA24" s="409"/>
      <c r="AB24" s="391" t="str">
        <f>IF(AND('Mapa de Riesgos'!$I$47="Media",'Mapa de Riesgos'!$M$47="Mayor"),CONCATENATE("R",'Mapa de Riesgos'!$A$47),"")</f>
        <v/>
      </c>
      <c r="AC24" s="387"/>
      <c r="AD24" s="387" t="e">
        <f>IF(AND('Mapa de Riesgos'!#REF!="Media",'Mapa de Riesgos'!#REF!="Mayor"),CONCATENATE("R",'Mapa de Riesgos'!#REF!),"")</f>
        <v>#REF!</v>
      </c>
      <c r="AE24" s="387"/>
      <c r="AF24" s="387" t="str">
        <f>IF(AND('Mapa de Riesgos'!$I$53="Media",'Mapa de Riesgos'!$M$53="Mayor"),CONCATENATE("R",'Mapa de Riesgos'!$A$53),"")</f>
        <v/>
      </c>
      <c r="AG24" s="388"/>
      <c r="AH24" s="398" t="str">
        <f>IF(AND('Mapa de Riesgos'!$I$47="Media",'Mapa de Riesgos'!$M$47="Catastrófico"),CONCATENATE("R",'Mapa de Riesgos'!$A$47),"")</f>
        <v/>
      </c>
      <c r="AI24" s="399"/>
      <c r="AJ24" s="399" t="e">
        <f>IF(AND('Mapa de Riesgos'!#REF!="Media",'Mapa de Riesgos'!#REF!="Catastrófico"),CONCATENATE("R",'Mapa de Riesgos'!#REF!),"")</f>
        <v>#REF!</v>
      </c>
      <c r="AK24" s="399"/>
      <c r="AL24" s="399" t="str">
        <f>IF(AND('Mapa de Riesgos'!$I$53="Media",'Mapa de Riesgos'!$M$53="Catastrófico"),CONCATENATE("R",'Mapa de Riesgos'!$A$53),"")</f>
        <v/>
      </c>
      <c r="AM24" s="400"/>
      <c r="AN24" s="41"/>
      <c r="AO24" s="363"/>
      <c r="AP24" s="364"/>
      <c r="AQ24" s="364"/>
      <c r="AR24" s="364"/>
      <c r="AS24" s="364"/>
      <c r="AT24" s="365"/>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row>
    <row r="25" spans="1:80" x14ac:dyDescent="0.25">
      <c r="A25" s="41"/>
      <c r="B25" s="340"/>
      <c r="C25" s="340"/>
      <c r="D25" s="341"/>
      <c r="E25" s="381"/>
      <c r="F25" s="382"/>
      <c r="G25" s="382"/>
      <c r="H25" s="382"/>
      <c r="I25" s="383"/>
      <c r="J25" s="407"/>
      <c r="K25" s="408"/>
      <c r="L25" s="408"/>
      <c r="M25" s="408"/>
      <c r="N25" s="408"/>
      <c r="O25" s="409"/>
      <c r="P25" s="407"/>
      <c r="Q25" s="408"/>
      <c r="R25" s="408"/>
      <c r="S25" s="408"/>
      <c r="T25" s="408"/>
      <c r="U25" s="409"/>
      <c r="V25" s="407"/>
      <c r="W25" s="408"/>
      <c r="X25" s="408"/>
      <c r="Y25" s="408"/>
      <c r="Z25" s="408"/>
      <c r="AA25" s="409"/>
      <c r="AB25" s="391"/>
      <c r="AC25" s="387"/>
      <c r="AD25" s="387"/>
      <c r="AE25" s="387"/>
      <c r="AF25" s="387"/>
      <c r="AG25" s="388"/>
      <c r="AH25" s="398"/>
      <c r="AI25" s="399"/>
      <c r="AJ25" s="399"/>
      <c r="AK25" s="399"/>
      <c r="AL25" s="399"/>
      <c r="AM25" s="400"/>
      <c r="AN25" s="41"/>
      <c r="AO25" s="363"/>
      <c r="AP25" s="364"/>
      <c r="AQ25" s="364"/>
      <c r="AR25" s="364"/>
      <c r="AS25" s="364"/>
      <c r="AT25" s="365"/>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row>
    <row r="26" spans="1:80" x14ac:dyDescent="0.25">
      <c r="A26" s="41"/>
      <c r="B26" s="340"/>
      <c r="C26" s="340"/>
      <c r="D26" s="341"/>
      <c r="E26" s="381"/>
      <c r="F26" s="382"/>
      <c r="G26" s="382"/>
      <c r="H26" s="382"/>
      <c r="I26" s="383"/>
      <c r="J26" s="407" t="str">
        <f>IF(AND('Mapa de Riesgos'!$I$23="Media",'Mapa de Riesgos'!$M$23="Leve"),CONCATENATE("R",'Mapa de Riesgos'!$A$23),"")</f>
        <v/>
      </c>
      <c r="K26" s="408"/>
      <c r="L26" s="408" t="str">
        <f>IF(AND('Mapa de Riesgos'!$I$17="Media",'Mapa de Riesgos'!$M$17="Leve"),CONCATENATE("R",'Mapa de Riesgos'!$A$17),"")</f>
        <v/>
      </c>
      <c r="M26" s="408"/>
      <c r="N26" s="408" t="str">
        <f>IF(AND('Mapa de Riesgos'!$I$59="Media",'Mapa de Riesgos'!$M$59="Leve"),CONCATENATE("R",'Mapa de Riesgos'!$A$59),"")</f>
        <v/>
      </c>
      <c r="O26" s="409"/>
      <c r="P26" s="407" t="str">
        <f>IF(AND('Mapa de Riesgos'!$I$23="Media",'Mapa de Riesgos'!$M$23="Menor"),CONCATENATE("R",'Mapa de Riesgos'!$A$23),"")</f>
        <v/>
      </c>
      <c r="Q26" s="408"/>
      <c r="R26" s="408" t="str">
        <f>IF(AND('Mapa de Riesgos'!$I$17="Media",'Mapa de Riesgos'!$M$17="Menor"),CONCATENATE("R",'Mapa de Riesgos'!$A$17),"")</f>
        <v/>
      </c>
      <c r="S26" s="408"/>
      <c r="T26" s="408" t="str">
        <f>IF(AND('Mapa de Riesgos'!$I$59="Media",'Mapa de Riesgos'!$M$59="Menor"),CONCATENATE("R",'Mapa de Riesgos'!$A$59),"")</f>
        <v/>
      </c>
      <c r="U26" s="409"/>
      <c r="V26" s="407" t="str">
        <f>IF(AND('Mapa de Riesgos'!$I$23="Media",'Mapa de Riesgos'!$M$23="Moderado"),CONCATENATE("R",'Mapa de Riesgos'!$A$23),"")</f>
        <v/>
      </c>
      <c r="W26" s="408"/>
      <c r="X26" s="408" t="str">
        <f>IF(AND('Mapa de Riesgos'!$I$17="Media",'Mapa de Riesgos'!$M$17="Moderado"),CONCATENATE("R",'Mapa de Riesgos'!$A$17),"")</f>
        <v/>
      </c>
      <c r="Y26" s="408"/>
      <c r="Z26" s="408" t="str">
        <f>IF(AND('Mapa de Riesgos'!$I$59="Media",'Mapa de Riesgos'!$M$59="Moderado"),CONCATENATE("R",'Mapa de Riesgos'!$A$59),"")</f>
        <v/>
      </c>
      <c r="AA26" s="409"/>
      <c r="AB26" s="391" t="str">
        <f>IF(AND('Mapa de Riesgos'!$I$23="Media",'Mapa de Riesgos'!$M$23="Mayor"),CONCATENATE("R",'Mapa de Riesgos'!$A$23),"")</f>
        <v/>
      </c>
      <c r="AC26" s="387"/>
      <c r="AD26" s="387" t="str">
        <f>IF(AND('Mapa de Riesgos'!$I$17="Media",'Mapa de Riesgos'!$M$17="Mayor"),CONCATENATE("R",'Mapa de Riesgos'!$A$17),"")</f>
        <v/>
      </c>
      <c r="AE26" s="387"/>
      <c r="AF26" s="387" t="str">
        <f>IF(AND('Mapa de Riesgos'!$I$59="Media",'Mapa de Riesgos'!$M$59="Mayor"),CONCATENATE("R",'Mapa de Riesgos'!$A$59),"")</f>
        <v/>
      </c>
      <c r="AG26" s="388"/>
      <c r="AH26" s="398" t="str">
        <f>IF(AND('Mapa de Riesgos'!$I$23="Media",'Mapa de Riesgos'!$M$23="Catastrófico"),CONCATENATE("R",'Mapa de Riesgos'!$A$23),"")</f>
        <v/>
      </c>
      <c r="AI26" s="399"/>
      <c r="AJ26" s="399" t="str">
        <f>IF(AND('Mapa de Riesgos'!$I$17="Media",'Mapa de Riesgos'!$M$17="Catastrófico"),CONCATENATE("R",'Mapa de Riesgos'!$A$17),"")</f>
        <v/>
      </c>
      <c r="AK26" s="399"/>
      <c r="AL26" s="399" t="str">
        <f>IF(AND('Mapa de Riesgos'!$I$59="Media",'Mapa de Riesgos'!$M$59="Catastrófico"),CONCATENATE("R",'Mapa de Riesgos'!$A$59),"")</f>
        <v/>
      </c>
      <c r="AM26" s="400"/>
      <c r="AN26" s="41"/>
      <c r="AO26" s="363"/>
      <c r="AP26" s="364"/>
      <c r="AQ26" s="364"/>
      <c r="AR26" s="364"/>
      <c r="AS26" s="364"/>
      <c r="AT26" s="365"/>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row>
    <row r="27" spans="1:80" x14ac:dyDescent="0.25">
      <c r="A27" s="41"/>
      <c r="B27" s="340"/>
      <c r="C27" s="340"/>
      <c r="D27" s="341"/>
      <c r="E27" s="381"/>
      <c r="F27" s="382"/>
      <c r="G27" s="382"/>
      <c r="H27" s="382"/>
      <c r="I27" s="383"/>
      <c r="J27" s="407"/>
      <c r="K27" s="408"/>
      <c r="L27" s="408"/>
      <c r="M27" s="408"/>
      <c r="N27" s="408"/>
      <c r="O27" s="409"/>
      <c r="P27" s="407"/>
      <c r="Q27" s="408"/>
      <c r="R27" s="408"/>
      <c r="S27" s="408"/>
      <c r="T27" s="408"/>
      <c r="U27" s="409"/>
      <c r="V27" s="407"/>
      <c r="W27" s="408"/>
      <c r="X27" s="408"/>
      <c r="Y27" s="408"/>
      <c r="Z27" s="408"/>
      <c r="AA27" s="409"/>
      <c r="AB27" s="391"/>
      <c r="AC27" s="387"/>
      <c r="AD27" s="387"/>
      <c r="AE27" s="387"/>
      <c r="AF27" s="387"/>
      <c r="AG27" s="388"/>
      <c r="AH27" s="398"/>
      <c r="AI27" s="399"/>
      <c r="AJ27" s="399"/>
      <c r="AK27" s="399"/>
      <c r="AL27" s="399"/>
      <c r="AM27" s="400"/>
      <c r="AN27" s="41"/>
      <c r="AO27" s="363"/>
      <c r="AP27" s="364"/>
      <c r="AQ27" s="364"/>
      <c r="AR27" s="364"/>
      <c r="AS27" s="364"/>
      <c r="AT27" s="365"/>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row>
    <row r="28" spans="1:80" x14ac:dyDescent="0.25">
      <c r="A28" s="41"/>
      <c r="B28" s="340"/>
      <c r="C28" s="340"/>
      <c r="D28" s="341"/>
      <c r="E28" s="381"/>
      <c r="F28" s="382"/>
      <c r="G28" s="382"/>
      <c r="H28" s="382"/>
      <c r="I28" s="383"/>
      <c r="J28" s="407" t="str">
        <f>IF(AND('Mapa de Riesgos'!$I$65="Media",'Mapa de Riesgos'!$M$65="Leve"),CONCATENATE("R",'Mapa de Riesgos'!$A$65),"")</f>
        <v/>
      </c>
      <c r="K28" s="408"/>
      <c r="L28" s="408" t="str">
        <f>IF(AND('Mapa de Riesgos'!$I$83="Media",'Mapa de Riesgos'!$M$83="Leve"),CONCATENATE("R",'Mapa de Riesgos'!$A$83),"")</f>
        <v/>
      </c>
      <c r="M28" s="408"/>
      <c r="N28" s="408" t="str">
        <f>IF(AND('Mapa de Riesgos'!$I$89="Media",'Mapa de Riesgos'!$M$89="Leve"),CONCATENATE("R",'Mapa de Riesgos'!$A$89),"")</f>
        <v/>
      </c>
      <c r="O28" s="409"/>
      <c r="P28" s="407" t="str">
        <f>IF(AND('Mapa de Riesgos'!$I$65="Media",'Mapa de Riesgos'!$M$65="Menor"),CONCATENATE("R",'Mapa de Riesgos'!$A$65),"")</f>
        <v/>
      </c>
      <c r="Q28" s="408"/>
      <c r="R28" s="408" t="str">
        <f>IF(AND('Mapa de Riesgos'!$I$83="Media",'Mapa de Riesgos'!$M$83="Menor"),CONCATENATE("R",'Mapa de Riesgos'!$A$83),"")</f>
        <v/>
      </c>
      <c r="S28" s="408"/>
      <c r="T28" s="408" t="str">
        <f>IF(AND('Mapa de Riesgos'!$I$89="Media",'Mapa de Riesgos'!$M$89="Menor"),CONCATENATE("R",'Mapa de Riesgos'!$A$89),"")</f>
        <v/>
      </c>
      <c r="U28" s="409"/>
      <c r="V28" s="407" t="str">
        <f>IF(AND('Mapa de Riesgos'!$I$65="Media",'Mapa de Riesgos'!$M$65="Moderado"),CONCATENATE("R",'Mapa de Riesgos'!$A$65),"")</f>
        <v/>
      </c>
      <c r="W28" s="408"/>
      <c r="X28" s="408" t="str">
        <f>IF(AND('Mapa de Riesgos'!$I$83="Media",'Mapa de Riesgos'!$M$83="Moderado"),CONCATENATE("R",'Mapa de Riesgos'!$A$83),"")</f>
        <v/>
      </c>
      <c r="Y28" s="408"/>
      <c r="Z28" s="408" t="str">
        <f>IF(AND('Mapa de Riesgos'!$I$89="Media",'Mapa de Riesgos'!$M$89="Moderado"),CONCATENATE("R",'Mapa de Riesgos'!$A$89),"")</f>
        <v/>
      </c>
      <c r="AA28" s="409"/>
      <c r="AB28" s="391" t="str">
        <f>IF(AND('Mapa de Riesgos'!$I$65="Media",'Mapa de Riesgos'!$M$65="Mayor"),CONCATENATE("R",'Mapa de Riesgos'!$A$65),"")</f>
        <v/>
      </c>
      <c r="AC28" s="387"/>
      <c r="AD28" s="387" t="str">
        <f>IF(AND('Mapa de Riesgos'!$I$83="Media",'Mapa de Riesgos'!$M$83="Mayor"),CONCATENATE("R",'Mapa de Riesgos'!$A$83),"")</f>
        <v/>
      </c>
      <c r="AE28" s="387"/>
      <c r="AF28" s="387" t="str">
        <f>IF(AND('Mapa de Riesgos'!$I$89="Media",'Mapa de Riesgos'!$M$89="Mayor"),CONCATENATE("R",'Mapa de Riesgos'!$A$89),"")</f>
        <v/>
      </c>
      <c r="AG28" s="388"/>
      <c r="AH28" s="398" t="str">
        <f>IF(AND('Mapa de Riesgos'!$I$65="Media",'Mapa de Riesgos'!$M$65="Catastrófico"),CONCATENATE("R",'Mapa de Riesgos'!$A$65),"")</f>
        <v/>
      </c>
      <c r="AI28" s="399"/>
      <c r="AJ28" s="399" t="str">
        <f>IF(AND('Mapa de Riesgos'!$I$83="Media",'Mapa de Riesgos'!$M$83="Catastrófico"),CONCATENATE("R",'Mapa de Riesgos'!$A$83),"")</f>
        <v/>
      </c>
      <c r="AK28" s="399"/>
      <c r="AL28" s="399" t="str">
        <f>IF(AND('Mapa de Riesgos'!$I$89="Media",'Mapa de Riesgos'!$M$89="Catastrófico"),CONCATENATE("R",'Mapa de Riesgos'!$A$89),"")</f>
        <v/>
      </c>
      <c r="AM28" s="400"/>
      <c r="AN28" s="41"/>
      <c r="AO28" s="363"/>
      <c r="AP28" s="364"/>
      <c r="AQ28" s="364"/>
      <c r="AR28" s="364"/>
      <c r="AS28" s="364"/>
      <c r="AT28" s="365"/>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row>
    <row r="29" spans="1:80" ht="15.75" thickBot="1" x14ac:dyDescent="0.3">
      <c r="A29" s="41"/>
      <c r="B29" s="340"/>
      <c r="C29" s="340"/>
      <c r="D29" s="341"/>
      <c r="E29" s="384"/>
      <c r="F29" s="385"/>
      <c r="G29" s="385"/>
      <c r="H29" s="385"/>
      <c r="I29" s="386"/>
      <c r="J29" s="407"/>
      <c r="K29" s="408"/>
      <c r="L29" s="408"/>
      <c r="M29" s="408"/>
      <c r="N29" s="408"/>
      <c r="O29" s="409"/>
      <c r="P29" s="410"/>
      <c r="Q29" s="411"/>
      <c r="R29" s="411"/>
      <c r="S29" s="411"/>
      <c r="T29" s="411"/>
      <c r="U29" s="412"/>
      <c r="V29" s="410"/>
      <c r="W29" s="411"/>
      <c r="X29" s="411"/>
      <c r="Y29" s="411"/>
      <c r="Z29" s="411"/>
      <c r="AA29" s="412"/>
      <c r="AB29" s="395"/>
      <c r="AC29" s="396"/>
      <c r="AD29" s="396"/>
      <c r="AE29" s="396"/>
      <c r="AF29" s="396"/>
      <c r="AG29" s="397"/>
      <c r="AH29" s="401"/>
      <c r="AI29" s="402"/>
      <c r="AJ29" s="402"/>
      <c r="AK29" s="402"/>
      <c r="AL29" s="402"/>
      <c r="AM29" s="403"/>
      <c r="AN29" s="41"/>
      <c r="AO29" s="366"/>
      <c r="AP29" s="367"/>
      <c r="AQ29" s="367"/>
      <c r="AR29" s="367"/>
      <c r="AS29" s="367"/>
      <c r="AT29" s="368"/>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row>
    <row r="30" spans="1:80" x14ac:dyDescent="0.25">
      <c r="A30" s="41"/>
      <c r="B30" s="340"/>
      <c r="C30" s="340"/>
      <c r="D30" s="341"/>
      <c r="E30" s="378" t="s">
        <v>117</v>
      </c>
      <c r="F30" s="379"/>
      <c r="G30" s="379"/>
      <c r="H30" s="379"/>
      <c r="I30" s="379"/>
      <c r="J30" s="422" t="str">
        <f>IF(AND('Mapa de Riesgos'!$I$11="Baja",'Mapa de Riesgos'!$M$11="Leve"),CONCATENATE("R",'Mapa de Riesgos'!$A$11),"")</f>
        <v/>
      </c>
      <c r="K30" s="423"/>
      <c r="L30" s="423" t="str">
        <f>IF(AND('Mapa de Riesgos'!$I$29="Baja",'Mapa de Riesgos'!$M$29="Leve"),CONCATENATE("R",'Mapa de Riesgos'!$A$29),"")</f>
        <v/>
      </c>
      <c r="M30" s="423"/>
      <c r="N30" s="423" t="str">
        <f>IF(AND('Mapa de Riesgos'!$I$35="Baja",'Mapa de Riesgos'!$M$35="Leve"),CONCATENATE("R",'Mapa de Riesgos'!$A$35),"")</f>
        <v/>
      </c>
      <c r="O30" s="424"/>
      <c r="P30" s="414" t="str">
        <f>IF(AND('Mapa de Riesgos'!$I$11="Baja",'Mapa de Riesgos'!$M$11="Menor"),CONCATENATE("R",'Mapa de Riesgos'!$A$11),"")</f>
        <v/>
      </c>
      <c r="Q30" s="414"/>
      <c r="R30" s="414" t="str">
        <f>IF(AND('Mapa de Riesgos'!$I$29="Baja",'Mapa de Riesgos'!$M$29="Menor"),CONCATENATE("R",'Mapa de Riesgos'!$A$29),"")</f>
        <v/>
      </c>
      <c r="S30" s="414"/>
      <c r="T30" s="414" t="str">
        <f>IF(AND('Mapa de Riesgos'!$I$35="Baja",'Mapa de Riesgos'!$M$35="Menor"),CONCATENATE("R",'Mapa de Riesgos'!$A$35),"")</f>
        <v/>
      </c>
      <c r="U30" s="415"/>
      <c r="V30" s="413" t="str">
        <f>IF(AND('Mapa de Riesgos'!$I$11="Baja",'Mapa de Riesgos'!$M$11="Moderado"),CONCATENATE("R",'Mapa de Riesgos'!$A$11),"")</f>
        <v/>
      </c>
      <c r="W30" s="414"/>
      <c r="X30" s="414" t="str">
        <f>IF(AND('Mapa de Riesgos'!$I$29="Baja",'Mapa de Riesgos'!$M$29="Moderado"),CONCATENATE("R",'Mapa de Riesgos'!$A$29),"")</f>
        <v/>
      </c>
      <c r="Y30" s="414"/>
      <c r="Z30" s="414" t="str">
        <f>IF(AND('Mapa de Riesgos'!$I$35="Baja",'Mapa de Riesgos'!$M$35="Moderado"),CONCATENATE("R",'Mapa de Riesgos'!$A$35),"")</f>
        <v/>
      </c>
      <c r="AA30" s="415"/>
      <c r="AB30" s="389" t="str">
        <f>IF(AND('Mapa de Riesgos'!$I$11="Baja",'Mapa de Riesgos'!$M$11="Mayor"),CONCATENATE("R",'Mapa de Riesgos'!$A$11),"")</f>
        <v/>
      </c>
      <c r="AC30" s="390"/>
      <c r="AD30" s="390" t="str">
        <f>IF(AND('Mapa de Riesgos'!$I$29="Baja",'Mapa de Riesgos'!$M$29="Mayor"),CONCATENATE("R",'Mapa de Riesgos'!$A$29),"")</f>
        <v/>
      </c>
      <c r="AE30" s="390"/>
      <c r="AF30" s="390" t="str">
        <f>IF(AND('Mapa de Riesgos'!$I$35="Baja",'Mapa de Riesgos'!$M$35="Mayor"),CONCATENATE("R",'Mapa de Riesgos'!$A$35),"")</f>
        <v/>
      </c>
      <c r="AG30" s="392"/>
      <c r="AH30" s="404" t="str">
        <f>IF(AND('Mapa de Riesgos'!$I$11="Baja",'Mapa de Riesgos'!$M$11="Catastrófico"),CONCATENATE("R",'Mapa de Riesgos'!$A$11),"")</f>
        <v/>
      </c>
      <c r="AI30" s="405"/>
      <c r="AJ30" s="405" t="str">
        <f>IF(AND('Mapa de Riesgos'!$I$29="Baja",'Mapa de Riesgos'!$M$29="Catastrófico"),CONCATENATE("R",'Mapa de Riesgos'!$A$29),"")</f>
        <v/>
      </c>
      <c r="AK30" s="405"/>
      <c r="AL30" s="405" t="str">
        <f>IF(AND('Mapa de Riesgos'!$I$35="Baja",'Mapa de Riesgos'!$M$35="Catastrófico"),CONCATENATE("R",'Mapa de Riesgos'!$A$35),"")</f>
        <v/>
      </c>
      <c r="AM30" s="406"/>
      <c r="AN30" s="41"/>
      <c r="AO30" s="369" t="s">
        <v>118</v>
      </c>
      <c r="AP30" s="370"/>
      <c r="AQ30" s="370"/>
      <c r="AR30" s="370"/>
      <c r="AS30" s="370"/>
      <c r="AT30" s="37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row>
    <row r="31" spans="1:80" x14ac:dyDescent="0.25">
      <c r="A31" s="41"/>
      <c r="B31" s="340"/>
      <c r="C31" s="340"/>
      <c r="D31" s="341"/>
      <c r="E31" s="381"/>
      <c r="F31" s="382"/>
      <c r="G31" s="382"/>
      <c r="H31" s="382"/>
      <c r="I31" s="382"/>
      <c r="J31" s="418"/>
      <c r="K31" s="416"/>
      <c r="L31" s="416"/>
      <c r="M31" s="416"/>
      <c r="N31" s="416"/>
      <c r="O31" s="417"/>
      <c r="P31" s="408"/>
      <c r="Q31" s="408"/>
      <c r="R31" s="408"/>
      <c r="S31" s="408"/>
      <c r="T31" s="408"/>
      <c r="U31" s="409"/>
      <c r="V31" s="407"/>
      <c r="W31" s="408"/>
      <c r="X31" s="408"/>
      <c r="Y31" s="408"/>
      <c r="Z31" s="408"/>
      <c r="AA31" s="409"/>
      <c r="AB31" s="391"/>
      <c r="AC31" s="387"/>
      <c r="AD31" s="387"/>
      <c r="AE31" s="387"/>
      <c r="AF31" s="387"/>
      <c r="AG31" s="388"/>
      <c r="AH31" s="398"/>
      <c r="AI31" s="399"/>
      <c r="AJ31" s="399"/>
      <c r="AK31" s="399"/>
      <c r="AL31" s="399"/>
      <c r="AM31" s="400"/>
      <c r="AN31" s="41"/>
      <c r="AO31" s="372"/>
      <c r="AP31" s="373"/>
      <c r="AQ31" s="373"/>
      <c r="AR31" s="373"/>
      <c r="AS31" s="373"/>
      <c r="AT31" s="374"/>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row>
    <row r="32" spans="1:80" x14ac:dyDescent="0.25">
      <c r="A32" s="41"/>
      <c r="B32" s="340"/>
      <c r="C32" s="340"/>
      <c r="D32" s="341"/>
      <c r="E32" s="381"/>
      <c r="F32" s="382"/>
      <c r="G32" s="382"/>
      <c r="H32" s="382"/>
      <c r="I32" s="382"/>
      <c r="J32" s="418" t="str">
        <f>IF(AND('Mapa de Riesgos'!$I$47="Baja",'Mapa de Riesgos'!$M$47="Leve"),CONCATENATE("R",'Mapa de Riesgos'!$A$47),"")</f>
        <v/>
      </c>
      <c r="K32" s="416"/>
      <c r="L32" s="416" t="e">
        <f>IF(AND('Mapa de Riesgos'!#REF!="Baja",'Mapa de Riesgos'!#REF!="Leve"),CONCATENATE("R",'Mapa de Riesgos'!#REF!),"")</f>
        <v>#REF!</v>
      </c>
      <c r="M32" s="416"/>
      <c r="N32" s="416" t="str">
        <f>IF(AND('Mapa de Riesgos'!$I$53="Baja",'Mapa de Riesgos'!$M$53="Leve"),CONCATENATE("R",'Mapa de Riesgos'!$A$53),"")</f>
        <v/>
      </c>
      <c r="O32" s="417"/>
      <c r="P32" s="408" t="str">
        <f>IF(AND('Mapa de Riesgos'!$I$47="Baja",'Mapa de Riesgos'!$M$47="Menor"),CONCATENATE("R",'Mapa de Riesgos'!$A$47),"")</f>
        <v/>
      </c>
      <c r="Q32" s="408"/>
      <c r="R32" s="408" t="e">
        <f>IF(AND('Mapa de Riesgos'!#REF!="Baja",'Mapa de Riesgos'!#REF!="Menor"),CONCATENATE("R",'Mapa de Riesgos'!#REF!),"")</f>
        <v>#REF!</v>
      </c>
      <c r="S32" s="408"/>
      <c r="T32" s="408" t="str">
        <f>IF(AND('Mapa de Riesgos'!$I$53="Baja",'Mapa de Riesgos'!$M$53="Menor"),CONCATENATE("R",'Mapa de Riesgos'!$A$53),"")</f>
        <v/>
      </c>
      <c r="U32" s="409"/>
      <c r="V32" s="407" t="str">
        <f>IF(AND('Mapa de Riesgos'!$I$47="Baja",'Mapa de Riesgos'!$M$47="Moderado"),CONCATENATE("R",'Mapa de Riesgos'!$A$47),"")</f>
        <v/>
      </c>
      <c r="W32" s="408"/>
      <c r="X32" s="408" t="e">
        <f>IF(AND('Mapa de Riesgos'!#REF!="Baja",'Mapa de Riesgos'!#REF!="Moderado"),CONCATENATE("R",'Mapa de Riesgos'!#REF!),"")</f>
        <v>#REF!</v>
      </c>
      <c r="Y32" s="408"/>
      <c r="Z32" s="408" t="str">
        <f>IF(AND('Mapa de Riesgos'!$I$53="Baja",'Mapa de Riesgos'!$M$53="Moderado"),CONCATENATE("R",'Mapa de Riesgos'!$A$53),"")</f>
        <v/>
      </c>
      <c r="AA32" s="409"/>
      <c r="AB32" s="391" t="str">
        <f>IF(AND('Mapa de Riesgos'!$I$47="Baja",'Mapa de Riesgos'!$M$47="Mayor"),CONCATENATE("R",'Mapa de Riesgos'!$A$47),"")</f>
        <v/>
      </c>
      <c r="AC32" s="387"/>
      <c r="AD32" s="387" t="e">
        <f>IF(AND('Mapa de Riesgos'!#REF!="Baja",'Mapa de Riesgos'!#REF!="Mayor"),CONCATENATE("R",'Mapa de Riesgos'!#REF!),"")</f>
        <v>#REF!</v>
      </c>
      <c r="AE32" s="387"/>
      <c r="AF32" s="387" t="str">
        <f>IF(AND('Mapa de Riesgos'!$I$53="Baja",'Mapa de Riesgos'!$M$53="Mayor"),CONCATENATE("R",'Mapa de Riesgos'!$A$53),"")</f>
        <v/>
      </c>
      <c r="AG32" s="388"/>
      <c r="AH32" s="398" t="str">
        <f>IF(AND('Mapa de Riesgos'!$I$47="Baja",'Mapa de Riesgos'!$M$47="Catastrófico"),CONCATENATE("R",'Mapa de Riesgos'!$A$47),"")</f>
        <v/>
      </c>
      <c r="AI32" s="399"/>
      <c r="AJ32" s="399" t="e">
        <f>IF(AND('Mapa de Riesgos'!#REF!="Baja",'Mapa de Riesgos'!#REF!="Catastrófico"),CONCATENATE("R",'Mapa de Riesgos'!#REF!),"")</f>
        <v>#REF!</v>
      </c>
      <c r="AK32" s="399"/>
      <c r="AL32" s="399" t="str">
        <f>IF(AND('Mapa de Riesgos'!$I$53="Baja",'Mapa de Riesgos'!$M$53="Catastrófico"),CONCATENATE("R",'Mapa de Riesgos'!$A$53),"")</f>
        <v/>
      </c>
      <c r="AM32" s="400"/>
      <c r="AN32" s="41"/>
      <c r="AO32" s="372"/>
      <c r="AP32" s="373"/>
      <c r="AQ32" s="373"/>
      <c r="AR32" s="373"/>
      <c r="AS32" s="373"/>
      <c r="AT32" s="374"/>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row>
    <row r="33" spans="1:80" x14ac:dyDescent="0.25">
      <c r="A33" s="41"/>
      <c r="B33" s="340"/>
      <c r="C33" s="340"/>
      <c r="D33" s="341"/>
      <c r="E33" s="381"/>
      <c r="F33" s="382"/>
      <c r="G33" s="382"/>
      <c r="H33" s="382"/>
      <c r="I33" s="382"/>
      <c r="J33" s="418"/>
      <c r="K33" s="416"/>
      <c r="L33" s="416"/>
      <c r="M33" s="416"/>
      <c r="N33" s="416"/>
      <c r="O33" s="417"/>
      <c r="P33" s="408"/>
      <c r="Q33" s="408"/>
      <c r="R33" s="408"/>
      <c r="S33" s="408"/>
      <c r="T33" s="408"/>
      <c r="U33" s="409"/>
      <c r="V33" s="407"/>
      <c r="W33" s="408"/>
      <c r="X33" s="408"/>
      <c r="Y33" s="408"/>
      <c r="Z33" s="408"/>
      <c r="AA33" s="409"/>
      <c r="AB33" s="391"/>
      <c r="AC33" s="387"/>
      <c r="AD33" s="387"/>
      <c r="AE33" s="387"/>
      <c r="AF33" s="387"/>
      <c r="AG33" s="388"/>
      <c r="AH33" s="398"/>
      <c r="AI33" s="399"/>
      <c r="AJ33" s="399"/>
      <c r="AK33" s="399"/>
      <c r="AL33" s="399"/>
      <c r="AM33" s="400"/>
      <c r="AN33" s="41"/>
      <c r="AO33" s="372"/>
      <c r="AP33" s="373"/>
      <c r="AQ33" s="373"/>
      <c r="AR33" s="373"/>
      <c r="AS33" s="373"/>
      <c r="AT33" s="374"/>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row>
    <row r="34" spans="1:80" x14ac:dyDescent="0.25">
      <c r="A34" s="41"/>
      <c r="B34" s="340"/>
      <c r="C34" s="340"/>
      <c r="D34" s="341"/>
      <c r="E34" s="381"/>
      <c r="F34" s="382"/>
      <c r="G34" s="382"/>
      <c r="H34" s="382"/>
      <c r="I34" s="382"/>
      <c r="J34" s="418" t="str">
        <f>IF(AND('Mapa de Riesgos'!$I$23="Baja",'Mapa de Riesgos'!$M$23="Leve"),CONCATENATE("R",'Mapa de Riesgos'!$A$23),"")</f>
        <v/>
      </c>
      <c r="K34" s="416"/>
      <c r="L34" s="416" t="str">
        <f>IF(AND('Mapa de Riesgos'!$I$17="Baja",'Mapa de Riesgos'!$M$17="Leve"),CONCATENATE("R",'Mapa de Riesgos'!$A$17),"")</f>
        <v/>
      </c>
      <c r="M34" s="416"/>
      <c r="N34" s="416" t="str">
        <f>IF(AND('Mapa de Riesgos'!$I$59="Baja",'Mapa de Riesgos'!$M$59="Leve"),CONCATENATE("R",'Mapa de Riesgos'!$A$59),"")</f>
        <v/>
      </c>
      <c r="O34" s="417"/>
      <c r="P34" s="408" t="str">
        <f>IF(AND('Mapa de Riesgos'!$I$23="Baja",'Mapa de Riesgos'!$M$23="Menor"),CONCATENATE("R",'Mapa de Riesgos'!$A$23),"")</f>
        <v>R3</v>
      </c>
      <c r="Q34" s="408"/>
      <c r="R34" s="408" t="str">
        <f>IF(AND('Mapa de Riesgos'!$I$17="Baja",'Mapa de Riesgos'!$M$17="Menor"),CONCATENATE("R",'Mapa de Riesgos'!$A$17),"")</f>
        <v>R2</v>
      </c>
      <c r="S34" s="408"/>
      <c r="T34" s="408" t="str">
        <f>IF(AND('Mapa de Riesgos'!$I$59="Baja",'Mapa de Riesgos'!$M$59="Menor"),CONCATENATE("R",'Mapa de Riesgos'!$A$59),"")</f>
        <v/>
      </c>
      <c r="U34" s="409"/>
      <c r="V34" s="407" t="str">
        <f>IF(AND('Mapa de Riesgos'!$I$23="Baja",'Mapa de Riesgos'!$M$23="Moderado"),CONCATENATE("R",'Mapa de Riesgos'!$A$23),"")</f>
        <v/>
      </c>
      <c r="W34" s="408"/>
      <c r="X34" s="408" t="str">
        <f>IF(AND('Mapa de Riesgos'!$I$17="Baja",'Mapa de Riesgos'!$M$17="Moderado"),CONCATENATE("R",'Mapa de Riesgos'!$A$17),"")</f>
        <v/>
      </c>
      <c r="Y34" s="408"/>
      <c r="Z34" s="408" t="str">
        <f>IF(AND('Mapa de Riesgos'!$I$59="Baja",'Mapa de Riesgos'!$M$59="Moderado"),CONCATENATE("R",'Mapa de Riesgos'!$A$59),"")</f>
        <v/>
      </c>
      <c r="AA34" s="409"/>
      <c r="AB34" s="391" t="str">
        <f>IF(AND('Mapa de Riesgos'!$I$23="Baja",'Mapa de Riesgos'!$M$23="Mayor"),CONCATENATE("R",'Mapa de Riesgos'!$A$23),"")</f>
        <v/>
      </c>
      <c r="AC34" s="387"/>
      <c r="AD34" s="387" t="str">
        <f>IF(AND('Mapa de Riesgos'!$I$17="Baja",'Mapa de Riesgos'!$M$17="Mayor"),CONCATENATE("R",'Mapa de Riesgos'!$A$17),"")</f>
        <v/>
      </c>
      <c r="AE34" s="387"/>
      <c r="AF34" s="387" t="str">
        <f>IF(AND('Mapa de Riesgos'!$I$59="Baja",'Mapa de Riesgos'!$M$59="Mayor"),CONCATENATE("R",'Mapa de Riesgos'!$A$59),"")</f>
        <v/>
      </c>
      <c r="AG34" s="388"/>
      <c r="AH34" s="398" t="str">
        <f>IF(AND('Mapa de Riesgos'!$I$23="Baja",'Mapa de Riesgos'!$M$23="Catastrófico"),CONCATENATE("R",'Mapa de Riesgos'!$A$23),"")</f>
        <v/>
      </c>
      <c r="AI34" s="399"/>
      <c r="AJ34" s="399" t="str">
        <f>IF(AND('Mapa de Riesgos'!$I$17="Baja",'Mapa de Riesgos'!$M$17="Catastrófico"),CONCATENATE("R",'Mapa de Riesgos'!$A$17),"")</f>
        <v/>
      </c>
      <c r="AK34" s="399"/>
      <c r="AL34" s="399" t="str">
        <f>IF(AND('Mapa de Riesgos'!$I$59="Baja",'Mapa de Riesgos'!$M$59="Catastrófico"),CONCATENATE("R",'Mapa de Riesgos'!$A$59),"")</f>
        <v/>
      </c>
      <c r="AM34" s="400"/>
      <c r="AN34" s="41"/>
      <c r="AO34" s="372"/>
      <c r="AP34" s="373"/>
      <c r="AQ34" s="373"/>
      <c r="AR34" s="373"/>
      <c r="AS34" s="373"/>
      <c r="AT34" s="374"/>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row>
    <row r="35" spans="1:80" x14ac:dyDescent="0.25">
      <c r="A35" s="41"/>
      <c r="B35" s="340"/>
      <c r="C35" s="340"/>
      <c r="D35" s="341"/>
      <c r="E35" s="381"/>
      <c r="F35" s="382"/>
      <c r="G35" s="382"/>
      <c r="H35" s="382"/>
      <c r="I35" s="382"/>
      <c r="J35" s="418"/>
      <c r="K35" s="416"/>
      <c r="L35" s="416"/>
      <c r="M35" s="416"/>
      <c r="N35" s="416"/>
      <c r="O35" s="417"/>
      <c r="P35" s="408"/>
      <c r="Q35" s="408"/>
      <c r="R35" s="408"/>
      <c r="S35" s="408"/>
      <c r="T35" s="408"/>
      <c r="U35" s="409"/>
      <c r="V35" s="407"/>
      <c r="W35" s="408"/>
      <c r="X35" s="408"/>
      <c r="Y35" s="408"/>
      <c r="Z35" s="408"/>
      <c r="AA35" s="409"/>
      <c r="AB35" s="391"/>
      <c r="AC35" s="387"/>
      <c r="AD35" s="387"/>
      <c r="AE35" s="387"/>
      <c r="AF35" s="387"/>
      <c r="AG35" s="388"/>
      <c r="AH35" s="398"/>
      <c r="AI35" s="399"/>
      <c r="AJ35" s="399"/>
      <c r="AK35" s="399"/>
      <c r="AL35" s="399"/>
      <c r="AM35" s="400"/>
      <c r="AN35" s="41"/>
      <c r="AO35" s="372"/>
      <c r="AP35" s="373"/>
      <c r="AQ35" s="373"/>
      <c r="AR35" s="373"/>
      <c r="AS35" s="373"/>
      <c r="AT35" s="374"/>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row>
    <row r="36" spans="1:80" x14ac:dyDescent="0.25">
      <c r="A36" s="41"/>
      <c r="B36" s="340"/>
      <c r="C36" s="340"/>
      <c r="D36" s="341"/>
      <c r="E36" s="381"/>
      <c r="F36" s="382"/>
      <c r="G36" s="382"/>
      <c r="H36" s="382"/>
      <c r="I36" s="382"/>
      <c r="J36" s="418" t="str">
        <f>IF(AND('Mapa de Riesgos'!$I$65="Baja",'Mapa de Riesgos'!$M$65="Leve"),CONCATENATE("R",'Mapa de Riesgos'!$A$65),"")</f>
        <v/>
      </c>
      <c r="K36" s="416"/>
      <c r="L36" s="416" t="str">
        <f>IF(AND('Mapa de Riesgos'!$I$83="Baja",'Mapa de Riesgos'!$M$83="Leve"),CONCATENATE("R",'Mapa de Riesgos'!$A$83),"")</f>
        <v/>
      </c>
      <c r="M36" s="416"/>
      <c r="N36" s="416" t="str">
        <f>IF(AND('Mapa de Riesgos'!$I$89="Baja",'Mapa de Riesgos'!$M$89="Leve"),CONCATENATE("R",'Mapa de Riesgos'!$A$89),"")</f>
        <v/>
      </c>
      <c r="O36" s="417"/>
      <c r="P36" s="408" t="str">
        <f>IF(AND('Mapa de Riesgos'!$I$65="Baja",'Mapa de Riesgos'!$M$65="Menor"),CONCATENATE("R",'Mapa de Riesgos'!$A$65),"")</f>
        <v/>
      </c>
      <c r="Q36" s="408"/>
      <c r="R36" s="408" t="str">
        <f>IF(AND('Mapa de Riesgos'!$I$83="Baja",'Mapa de Riesgos'!$M$83="Menor"),CONCATENATE("R",'Mapa de Riesgos'!$A$83),"")</f>
        <v/>
      </c>
      <c r="S36" s="408"/>
      <c r="T36" s="408" t="str">
        <f>IF(AND('Mapa de Riesgos'!$I$89="Baja",'Mapa de Riesgos'!$M$89="Menor"),CONCATENATE("R",'Mapa de Riesgos'!$A$89),"")</f>
        <v/>
      </c>
      <c r="U36" s="409"/>
      <c r="V36" s="407" t="str">
        <f>IF(AND('Mapa de Riesgos'!$I$65="Baja",'Mapa de Riesgos'!$M$65="Moderado"),CONCATENATE("R",'Mapa de Riesgos'!$A$65),"")</f>
        <v/>
      </c>
      <c r="W36" s="408"/>
      <c r="X36" s="408" t="str">
        <f>IF(AND('Mapa de Riesgos'!$I$83="Baja",'Mapa de Riesgos'!$M$83="Moderado"),CONCATENATE("R",'Mapa de Riesgos'!$A$83),"")</f>
        <v/>
      </c>
      <c r="Y36" s="408"/>
      <c r="Z36" s="408" t="str">
        <f>IF(AND('Mapa de Riesgos'!$I$89="Baja",'Mapa de Riesgos'!$M$89="Moderado"),CONCATENATE("R",'Mapa de Riesgos'!$A$89),"")</f>
        <v/>
      </c>
      <c r="AA36" s="409"/>
      <c r="AB36" s="391" t="str">
        <f>IF(AND('Mapa de Riesgos'!$I$65="Baja",'Mapa de Riesgos'!$M$65="Mayor"),CONCATENATE("R",'Mapa de Riesgos'!$A$65),"")</f>
        <v/>
      </c>
      <c r="AC36" s="387"/>
      <c r="AD36" s="387" t="str">
        <f>IF(AND('Mapa de Riesgos'!$I$83="Baja",'Mapa de Riesgos'!$M$83="Mayor"),CONCATENATE("R",'Mapa de Riesgos'!$A$83),"")</f>
        <v/>
      </c>
      <c r="AE36" s="387"/>
      <c r="AF36" s="387" t="str">
        <f>IF(AND('Mapa de Riesgos'!$I$89="Baja",'Mapa de Riesgos'!$M$89="Mayor"),CONCATENATE("R",'Mapa de Riesgos'!$A$89),"")</f>
        <v/>
      </c>
      <c r="AG36" s="388"/>
      <c r="AH36" s="398" t="str">
        <f>IF(AND('Mapa de Riesgos'!$I$65="Baja",'Mapa de Riesgos'!$M$65="Catastrófico"),CONCATENATE("R",'Mapa de Riesgos'!$A$65),"")</f>
        <v/>
      </c>
      <c r="AI36" s="399"/>
      <c r="AJ36" s="399" t="str">
        <f>IF(AND('Mapa de Riesgos'!$I$83="Baja",'Mapa de Riesgos'!$M$83="Catastrófico"),CONCATENATE("R",'Mapa de Riesgos'!$A$83),"")</f>
        <v/>
      </c>
      <c r="AK36" s="399"/>
      <c r="AL36" s="399" t="str">
        <f>IF(AND('Mapa de Riesgos'!$I$89="Baja",'Mapa de Riesgos'!$M$89="Catastrófico"),CONCATENATE("R",'Mapa de Riesgos'!$A$89),"")</f>
        <v/>
      </c>
      <c r="AM36" s="400"/>
      <c r="AN36" s="41"/>
      <c r="AO36" s="372"/>
      <c r="AP36" s="373"/>
      <c r="AQ36" s="373"/>
      <c r="AR36" s="373"/>
      <c r="AS36" s="373"/>
      <c r="AT36" s="374"/>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row>
    <row r="37" spans="1:80" ht="15.75" thickBot="1" x14ac:dyDescent="0.3">
      <c r="A37" s="41"/>
      <c r="B37" s="340"/>
      <c r="C37" s="340"/>
      <c r="D37" s="341"/>
      <c r="E37" s="384"/>
      <c r="F37" s="385"/>
      <c r="G37" s="385"/>
      <c r="H37" s="385"/>
      <c r="I37" s="385"/>
      <c r="J37" s="419"/>
      <c r="K37" s="420"/>
      <c r="L37" s="420"/>
      <c r="M37" s="420"/>
      <c r="N37" s="420"/>
      <c r="O37" s="421"/>
      <c r="P37" s="411"/>
      <c r="Q37" s="411"/>
      <c r="R37" s="411"/>
      <c r="S37" s="411"/>
      <c r="T37" s="411"/>
      <c r="U37" s="412"/>
      <c r="V37" s="410"/>
      <c r="W37" s="411"/>
      <c r="X37" s="411"/>
      <c r="Y37" s="411"/>
      <c r="Z37" s="411"/>
      <c r="AA37" s="412"/>
      <c r="AB37" s="395"/>
      <c r="AC37" s="396"/>
      <c r="AD37" s="396"/>
      <c r="AE37" s="396"/>
      <c r="AF37" s="396"/>
      <c r="AG37" s="397"/>
      <c r="AH37" s="401"/>
      <c r="AI37" s="402"/>
      <c r="AJ37" s="402"/>
      <c r="AK37" s="402"/>
      <c r="AL37" s="402"/>
      <c r="AM37" s="403"/>
      <c r="AN37" s="41"/>
      <c r="AO37" s="375"/>
      <c r="AP37" s="376"/>
      <c r="AQ37" s="376"/>
      <c r="AR37" s="376"/>
      <c r="AS37" s="376"/>
      <c r="AT37" s="377"/>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row>
    <row r="38" spans="1:80" x14ac:dyDescent="0.25">
      <c r="A38" s="41"/>
      <c r="B38" s="340"/>
      <c r="C38" s="340"/>
      <c r="D38" s="341"/>
      <c r="E38" s="378" t="s">
        <v>119</v>
      </c>
      <c r="F38" s="379"/>
      <c r="G38" s="379"/>
      <c r="H38" s="379"/>
      <c r="I38" s="380"/>
      <c r="J38" s="422" t="str">
        <f>IF(AND('Mapa de Riesgos'!$I$11="Muy Baja",'Mapa de Riesgos'!$M$11="Leve"),CONCATENATE("R",'Mapa de Riesgos'!$A$11),"")</f>
        <v/>
      </c>
      <c r="K38" s="423"/>
      <c r="L38" s="423" t="str">
        <f>IF(AND('Mapa de Riesgos'!$I$29="Muy Baja",'Mapa de Riesgos'!$M$29="Leve"),CONCATENATE("R",'Mapa de Riesgos'!$A$29),"")</f>
        <v/>
      </c>
      <c r="M38" s="423"/>
      <c r="N38" s="423" t="str">
        <f>IF(AND('Mapa de Riesgos'!$I$35="Muy Baja",'Mapa de Riesgos'!$M$35="Leve"),CONCATENATE("R",'Mapa de Riesgos'!$A$35),"")</f>
        <v>R5</v>
      </c>
      <c r="O38" s="424"/>
      <c r="P38" s="422" t="str">
        <f>IF(AND('Mapa de Riesgos'!$I$11="Muy Baja",'Mapa de Riesgos'!$M$11="Menor"),CONCATENATE("R",'Mapa de Riesgos'!$A$11),"")</f>
        <v/>
      </c>
      <c r="Q38" s="423"/>
      <c r="R38" s="423" t="str">
        <f>IF(AND('Mapa de Riesgos'!$I$29="Muy Baja",'Mapa de Riesgos'!$M$29="Menor"),CONCATENATE("R",'Mapa de Riesgos'!$A$29),"")</f>
        <v/>
      </c>
      <c r="S38" s="423"/>
      <c r="T38" s="423" t="str">
        <f>IF(AND('Mapa de Riesgos'!$I$35="Muy Baja",'Mapa de Riesgos'!$M$35="Menor"),CONCATENATE("R",'Mapa de Riesgos'!$A$35),"")</f>
        <v/>
      </c>
      <c r="U38" s="424"/>
      <c r="V38" s="413" t="str">
        <f>IF(AND('Mapa de Riesgos'!$I$11="Muy Baja",'Mapa de Riesgos'!$M$11="Moderado"),CONCATENATE("R",'Mapa de Riesgos'!$A$11),"")</f>
        <v/>
      </c>
      <c r="W38" s="414"/>
      <c r="X38" s="414" t="str">
        <f>IF(AND('Mapa de Riesgos'!$I$29="Muy Baja",'Mapa de Riesgos'!$M$29="Moderado"),CONCATENATE("R",'Mapa de Riesgos'!$A$29),"")</f>
        <v/>
      </c>
      <c r="Y38" s="414"/>
      <c r="Z38" s="414" t="str">
        <f>IF(AND('Mapa de Riesgos'!$I$35="Muy Baja",'Mapa de Riesgos'!$M$35="Moderado"),CONCATENATE("R",'Mapa de Riesgos'!$A$35),"")</f>
        <v/>
      </c>
      <c r="AA38" s="415"/>
      <c r="AB38" s="389" t="str">
        <f>IF(AND('Mapa de Riesgos'!$I$11="Muy Baja",'Mapa de Riesgos'!$M$11="Mayor"),CONCATENATE("R",'Mapa de Riesgos'!$A$11),"")</f>
        <v>R1</v>
      </c>
      <c r="AC38" s="390"/>
      <c r="AD38" s="390" t="str">
        <f>IF(AND('Mapa de Riesgos'!$I$29="Muy Baja",'Mapa de Riesgos'!$M$29="Mayor"),CONCATENATE("R",'Mapa de Riesgos'!$A$29),"")</f>
        <v>R4</v>
      </c>
      <c r="AE38" s="390"/>
      <c r="AF38" s="390" t="str">
        <f>IF(AND('Mapa de Riesgos'!$I$35="Muy Baja",'Mapa de Riesgos'!$M$35="Mayor"),CONCATENATE("R",'Mapa de Riesgos'!$A$35),"")</f>
        <v/>
      </c>
      <c r="AG38" s="392"/>
      <c r="AH38" s="404" t="str">
        <f>IF(AND('Mapa de Riesgos'!$I$11="Muy Baja",'Mapa de Riesgos'!$M$11="Catastrófico"),CONCATENATE("R",'Mapa de Riesgos'!$A$11),"")</f>
        <v/>
      </c>
      <c r="AI38" s="405"/>
      <c r="AJ38" s="405" t="str">
        <f>IF(AND('Mapa de Riesgos'!$I$29="Muy Baja",'Mapa de Riesgos'!$M$29="Catastrófico"),CONCATENATE("R",'Mapa de Riesgos'!$A$29),"")</f>
        <v/>
      </c>
      <c r="AK38" s="405"/>
      <c r="AL38" s="405" t="str">
        <f>IF(AND('Mapa de Riesgos'!$I$35="Muy Baja",'Mapa de Riesgos'!$M$35="Catastrófico"),CONCATENATE("R",'Mapa de Riesgos'!$A$35),"")</f>
        <v/>
      </c>
      <c r="AM38" s="406"/>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row>
    <row r="39" spans="1:80" x14ac:dyDescent="0.25">
      <c r="A39" s="41"/>
      <c r="B39" s="340"/>
      <c r="C39" s="340"/>
      <c r="D39" s="341"/>
      <c r="E39" s="381"/>
      <c r="F39" s="382"/>
      <c r="G39" s="382"/>
      <c r="H39" s="382"/>
      <c r="I39" s="383"/>
      <c r="J39" s="418"/>
      <c r="K39" s="416"/>
      <c r="L39" s="416"/>
      <c r="M39" s="416"/>
      <c r="N39" s="416"/>
      <c r="O39" s="417"/>
      <c r="P39" s="418"/>
      <c r="Q39" s="416"/>
      <c r="R39" s="416"/>
      <c r="S39" s="416"/>
      <c r="T39" s="416"/>
      <c r="U39" s="417"/>
      <c r="V39" s="407"/>
      <c r="W39" s="408"/>
      <c r="X39" s="408"/>
      <c r="Y39" s="408"/>
      <c r="Z39" s="408"/>
      <c r="AA39" s="409"/>
      <c r="AB39" s="391"/>
      <c r="AC39" s="387"/>
      <c r="AD39" s="387"/>
      <c r="AE39" s="387"/>
      <c r="AF39" s="387"/>
      <c r="AG39" s="388"/>
      <c r="AH39" s="398"/>
      <c r="AI39" s="399"/>
      <c r="AJ39" s="399"/>
      <c r="AK39" s="399"/>
      <c r="AL39" s="399"/>
      <c r="AM39" s="400"/>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row>
    <row r="40" spans="1:80" x14ac:dyDescent="0.25">
      <c r="A40" s="41"/>
      <c r="B40" s="340"/>
      <c r="C40" s="340"/>
      <c r="D40" s="341"/>
      <c r="E40" s="381"/>
      <c r="F40" s="382"/>
      <c r="G40" s="382"/>
      <c r="H40" s="382"/>
      <c r="I40" s="383"/>
      <c r="J40" s="418" t="str">
        <f>IF(AND('Mapa de Riesgos'!$I$47="Muy Baja",'Mapa de Riesgos'!$M$47="Leve"),CONCATENATE("R",'Mapa de Riesgos'!$A$47),"")</f>
        <v>R7</v>
      </c>
      <c r="K40" s="416"/>
      <c r="L40" s="416" t="e">
        <f>IF(AND('Mapa de Riesgos'!#REF!="Muy Baja",'Mapa de Riesgos'!#REF!="Leve"),CONCATENATE("R",'Mapa de Riesgos'!#REF!),"")</f>
        <v>#REF!</v>
      </c>
      <c r="M40" s="416"/>
      <c r="N40" s="416" t="str">
        <f>IF(AND('Mapa de Riesgos'!$I$53="Muy Baja",'Mapa de Riesgos'!$M$53="Leve"),CONCATENATE("R",'Mapa de Riesgos'!$A$53),"")</f>
        <v/>
      </c>
      <c r="O40" s="417"/>
      <c r="P40" s="418" t="str">
        <f>IF(AND('Mapa de Riesgos'!$I$47="Muy Baja",'Mapa de Riesgos'!$M$47="Menor"),CONCATENATE("R",'Mapa de Riesgos'!$A$47),"")</f>
        <v/>
      </c>
      <c r="Q40" s="416"/>
      <c r="R40" s="416" t="e">
        <f>IF(AND('Mapa de Riesgos'!#REF!="Muy Baja",'Mapa de Riesgos'!#REF!="Menor"),CONCATENATE("R",'Mapa de Riesgos'!#REF!),"")</f>
        <v>#REF!</v>
      </c>
      <c r="S40" s="416"/>
      <c r="T40" s="416" t="str">
        <f>IF(AND('Mapa de Riesgos'!$I$53="Muy Baja",'Mapa de Riesgos'!$M$53="Menor"),CONCATENATE("R",'Mapa de Riesgos'!$A$53),"")</f>
        <v>R8</v>
      </c>
      <c r="U40" s="417"/>
      <c r="V40" s="407" t="str">
        <f>IF(AND('Mapa de Riesgos'!$I$47="Muy Baja",'Mapa de Riesgos'!$M$47="Moderado"),CONCATENATE("R",'Mapa de Riesgos'!$A$47),"")</f>
        <v/>
      </c>
      <c r="W40" s="408"/>
      <c r="X40" s="408" t="e">
        <f>IF(AND('Mapa de Riesgos'!#REF!="Muy Baja",'Mapa de Riesgos'!#REF!="Moderado"),CONCATENATE("R",'Mapa de Riesgos'!#REF!),"")</f>
        <v>#REF!</v>
      </c>
      <c r="Y40" s="408"/>
      <c r="Z40" s="408" t="str">
        <f>IF(AND('Mapa de Riesgos'!$I$53="Muy Baja",'Mapa de Riesgos'!$M$53="Moderado"),CONCATENATE("R",'Mapa de Riesgos'!$A$53),"")</f>
        <v/>
      </c>
      <c r="AA40" s="409"/>
      <c r="AB40" s="391" t="str">
        <f>IF(AND('Mapa de Riesgos'!$I$47="Muy Baja",'Mapa de Riesgos'!$M$47="Mayor"),CONCATENATE("R",'Mapa de Riesgos'!$A$47),"")</f>
        <v/>
      </c>
      <c r="AC40" s="387"/>
      <c r="AD40" s="387" t="e">
        <f>IF(AND('Mapa de Riesgos'!#REF!="Muy Baja",'Mapa de Riesgos'!#REF!="Mayor"),CONCATENATE("R",'Mapa de Riesgos'!#REF!),"")</f>
        <v>#REF!</v>
      </c>
      <c r="AE40" s="387"/>
      <c r="AF40" s="387" t="str">
        <f>IF(AND('Mapa de Riesgos'!$I$53="Muy Baja",'Mapa de Riesgos'!$M$53="Mayor"),CONCATENATE("R",'Mapa de Riesgos'!$A$53),"")</f>
        <v/>
      </c>
      <c r="AG40" s="388"/>
      <c r="AH40" s="398" t="str">
        <f>IF(AND('Mapa de Riesgos'!$I$47="Muy Baja",'Mapa de Riesgos'!$M$47="Catastrófico"),CONCATENATE("R",'Mapa de Riesgos'!$A$47),"")</f>
        <v/>
      </c>
      <c r="AI40" s="399"/>
      <c r="AJ40" s="399" t="e">
        <f>IF(AND('Mapa de Riesgos'!#REF!="Muy Baja",'Mapa de Riesgos'!#REF!="Catastrófico"),CONCATENATE("R",'Mapa de Riesgos'!#REF!),"")</f>
        <v>#REF!</v>
      </c>
      <c r="AK40" s="399"/>
      <c r="AL40" s="399" t="str">
        <f>IF(AND('Mapa de Riesgos'!$I$53="Muy Baja",'Mapa de Riesgos'!$M$53="Catastrófico"),CONCATENATE("R",'Mapa de Riesgos'!$A$53),"")</f>
        <v/>
      </c>
      <c r="AM40" s="400"/>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row>
    <row r="41" spans="1:80" x14ac:dyDescent="0.25">
      <c r="A41" s="41"/>
      <c r="B41" s="340"/>
      <c r="C41" s="340"/>
      <c r="D41" s="341"/>
      <c r="E41" s="381"/>
      <c r="F41" s="382"/>
      <c r="G41" s="382"/>
      <c r="H41" s="382"/>
      <c r="I41" s="383"/>
      <c r="J41" s="418"/>
      <c r="K41" s="416"/>
      <c r="L41" s="416"/>
      <c r="M41" s="416"/>
      <c r="N41" s="416"/>
      <c r="O41" s="417"/>
      <c r="P41" s="418"/>
      <c r="Q41" s="416"/>
      <c r="R41" s="416"/>
      <c r="S41" s="416"/>
      <c r="T41" s="416"/>
      <c r="U41" s="417"/>
      <c r="V41" s="407"/>
      <c r="W41" s="408"/>
      <c r="X41" s="408"/>
      <c r="Y41" s="408"/>
      <c r="Z41" s="408"/>
      <c r="AA41" s="409"/>
      <c r="AB41" s="391"/>
      <c r="AC41" s="387"/>
      <c r="AD41" s="387"/>
      <c r="AE41" s="387"/>
      <c r="AF41" s="387"/>
      <c r="AG41" s="388"/>
      <c r="AH41" s="398"/>
      <c r="AI41" s="399"/>
      <c r="AJ41" s="399"/>
      <c r="AK41" s="399"/>
      <c r="AL41" s="399"/>
      <c r="AM41" s="400"/>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row>
    <row r="42" spans="1:80" x14ac:dyDescent="0.25">
      <c r="A42" s="41"/>
      <c r="B42" s="340"/>
      <c r="C42" s="340"/>
      <c r="D42" s="341"/>
      <c r="E42" s="381"/>
      <c r="F42" s="382"/>
      <c r="G42" s="382"/>
      <c r="H42" s="382"/>
      <c r="I42" s="383"/>
      <c r="J42" s="418" t="str">
        <f>IF(AND('Mapa de Riesgos'!$I$23="Muy Baja",'Mapa de Riesgos'!$M$23="Leve"),CONCATENATE("R",'Mapa de Riesgos'!$A$23),"")</f>
        <v/>
      </c>
      <c r="K42" s="416"/>
      <c r="L42" s="416" t="str">
        <f>IF(AND('Mapa de Riesgos'!$I$17="Muy Baja",'Mapa de Riesgos'!$M$17="Leve"),CONCATENATE("R",'Mapa de Riesgos'!$A$17),"")</f>
        <v/>
      </c>
      <c r="M42" s="416"/>
      <c r="N42" s="416" t="str">
        <f>IF(AND('Mapa de Riesgos'!$I$59="Muy Baja",'Mapa de Riesgos'!$M$59="Leve"),CONCATENATE("R",'Mapa de Riesgos'!$A$59),"")</f>
        <v>R9</v>
      </c>
      <c r="O42" s="417"/>
      <c r="P42" s="418" t="str">
        <f>IF(AND('Mapa de Riesgos'!$I$23="Muy Baja",'Mapa de Riesgos'!$M$23="Menor"),CONCATENATE("R",'Mapa de Riesgos'!$A$23),"")</f>
        <v/>
      </c>
      <c r="Q42" s="416"/>
      <c r="R42" s="416" t="str">
        <f>IF(AND('Mapa de Riesgos'!$I$17="Muy Baja",'Mapa de Riesgos'!$M$17="Menor"),CONCATENATE("R",'Mapa de Riesgos'!$A$17),"")</f>
        <v/>
      </c>
      <c r="S42" s="416"/>
      <c r="T42" s="416" t="str">
        <f>IF(AND('Mapa de Riesgos'!$I$59="Muy Baja",'Mapa de Riesgos'!$M$59="Menor"),CONCATENATE("R",'Mapa de Riesgos'!$A$59),"")</f>
        <v/>
      </c>
      <c r="U42" s="417"/>
      <c r="V42" s="407" t="str">
        <f>IF(AND('Mapa de Riesgos'!$I$23="Muy Baja",'Mapa de Riesgos'!$M$23="Moderado"),CONCATENATE("R",'Mapa de Riesgos'!$A$23),"")</f>
        <v/>
      </c>
      <c r="W42" s="408"/>
      <c r="X42" s="408" t="str">
        <f>IF(AND('Mapa de Riesgos'!$I$17="Muy Baja",'Mapa de Riesgos'!$M$17="Moderado"),CONCATENATE("R",'Mapa de Riesgos'!$A$17),"")</f>
        <v/>
      </c>
      <c r="Y42" s="408"/>
      <c r="Z42" s="408" t="str">
        <f>IF(AND('Mapa de Riesgos'!$I$59="Muy Baja",'Mapa de Riesgos'!$M$59="Moderado"),CONCATENATE("R",'Mapa de Riesgos'!$A$59),"")</f>
        <v/>
      </c>
      <c r="AA42" s="409"/>
      <c r="AB42" s="391" t="str">
        <f>IF(AND('Mapa de Riesgos'!$I$23="Muy Baja",'Mapa de Riesgos'!$M$23="Mayor"),CONCATENATE("R",'Mapa de Riesgos'!$A$23),"")</f>
        <v/>
      </c>
      <c r="AC42" s="387"/>
      <c r="AD42" s="387" t="str">
        <f>IF(AND('Mapa de Riesgos'!$I$17="Muy Baja",'Mapa de Riesgos'!$M$17="Mayor"),CONCATENATE("R",'Mapa de Riesgos'!$A$17),"")</f>
        <v/>
      </c>
      <c r="AE42" s="387"/>
      <c r="AF42" s="387" t="str">
        <f>IF(AND('Mapa de Riesgos'!$I$59="Muy Baja",'Mapa de Riesgos'!$M$59="Mayor"),CONCATENATE("R",'Mapa de Riesgos'!$A$59),"")</f>
        <v/>
      </c>
      <c r="AG42" s="388"/>
      <c r="AH42" s="398" t="str">
        <f>IF(AND('Mapa de Riesgos'!$I$23="Muy Baja",'Mapa de Riesgos'!$M$23="Catastrófico"),CONCATENATE("R",'Mapa de Riesgos'!$A$23),"")</f>
        <v/>
      </c>
      <c r="AI42" s="399"/>
      <c r="AJ42" s="399" t="str">
        <f>IF(AND('Mapa de Riesgos'!$I$17="Muy Baja",'Mapa de Riesgos'!$M$17="Catastrófico"),CONCATENATE("R",'Mapa de Riesgos'!$A$17),"")</f>
        <v/>
      </c>
      <c r="AK42" s="399"/>
      <c r="AL42" s="399" t="str">
        <f>IF(AND('Mapa de Riesgos'!$I$59="Muy Baja",'Mapa de Riesgos'!$M$59="Catastrófico"),CONCATENATE("R",'Mapa de Riesgos'!$A$59),"")</f>
        <v/>
      </c>
      <c r="AM42" s="400"/>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row>
    <row r="43" spans="1:80" x14ac:dyDescent="0.25">
      <c r="A43" s="41"/>
      <c r="B43" s="340"/>
      <c r="C43" s="340"/>
      <c r="D43" s="341"/>
      <c r="E43" s="381"/>
      <c r="F43" s="382"/>
      <c r="G43" s="382"/>
      <c r="H43" s="382"/>
      <c r="I43" s="383"/>
      <c r="J43" s="418"/>
      <c r="K43" s="416"/>
      <c r="L43" s="416"/>
      <c r="M43" s="416"/>
      <c r="N43" s="416"/>
      <c r="O43" s="417"/>
      <c r="P43" s="418"/>
      <c r="Q43" s="416"/>
      <c r="R43" s="416"/>
      <c r="S43" s="416"/>
      <c r="T43" s="416"/>
      <c r="U43" s="417"/>
      <c r="V43" s="407"/>
      <c r="W43" s="408"/>
      <c r="X43" s="408"/>
      <c r="Y43" s="408"/>
      <c r="Z43" s="408"/>
      <c r="AA43" s="409"/>
      <c r="AB43" s="391"/>
      <c r="AC43" s="387"/>
      <c r="AD43" s="387"/>
      <c r="AE43" s="387"/>
      <c r="AF43" s="387"/>
      <c r="AG43" s="388"/>
      <c r="AH43" s="398"/>
      <c r="AI43" s="399"/>
      <c r="AJ43" s="399"/>
      <c r="AK43" s="399"/>
      <c r="AL43" s="399"/>
      <c r="AM43" s="400"/>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row>
    <row r="44" spans="1:80" x14ac:dyDescent="0.25">
      <c r="A44" s="41"/>
      <c r="B44" s="340"/>
      <c r="C44" s="340"/>
      <c r="D44" s="341"/>
      <c r="E44" s="381"/>
      <c r="F44" s="382"/>
      <c r="G44" s="382"/>
      <c r="H44" s="382"/>
      <c r="I44" s="383"/>
      <c r="J44" s="418" t="str">
        <f>IF(AND('Mapa de Riesgos'!$I$65="Muy Baja",'Mapa de Riesgos'!$M$65="Leve"),CONCATENATE("R",'Mapa de Riesgos'!$A$65),"")</f>
        <v/>
      </c>
      <c r="K44" s="416"/>
      <c r="L44" s="416" t="str">
        <f>IF(AND('Mapa de Riesgos'!$I$83="Muy Baja",'Mapa de Riesgos'!$M$83="Leve"),CONCATENATE("R",'Mapa de Riesgos'!$A$83),"")</f>
        <v/>
      </c>
      <c r="M44" s="416"/>
      <c r="N44" s="416" t="str">
        <f>IF(AND('Mapa de Riesgos'!$I$89="Muy Baja",'Mapa de Riesgos'!$M$89="Leve"),CONCATENATE("R",'Mapa de Riesgos'!$A$89),"")</f>
        <v/>
      </c>
      <c r="O44" s="417"/>
      <c r="P44" s="418" t="str">
        <f>IF(AND('Mapa de Riesgos'!$I$65="Muy Baja",'Mapa de Riesgos'!$M$65="Menor"),CONCATENATE("R",'Mapa de Riesgos'!$A$65),"")</f>
        <v/>
      </c>
      <c r="Q44" s="416"/>
      <c r="R44" s="416" t="str">
        <f>IF(AND('Mapa de Riesgos'!$I$83="Muy Baja",'Mapa de Riesgos'!$M$83="Menor"),CONCATENATE("R",'Mapa de Riesgos'!$A$83),"")</f>
        <v/>
      </c>
      <c r="S44" s="416"/>
      <c r="T44" s="416" t="str">
        <f>IF(AND('Mapa de Riesgos'!$I$89="Muy Baja",'Mapa de Riesgos'!$M$89="Menor"),CONCATENATE("R",'Mapa de Riesgos'!$A$89),"")</f>
        <v/>
      </c>
      <c r="U44" s="417"/>
      <c r="V44" s="407" t="str">
        <f>IF(AND('Mapa de Riesgos'!$I$65="Muy Baja",'Mapa de Riesgos'!$M$65="Moderado"),CONCATENATE("R",'Mapa de Riesgos'!$A$65),"")</f>
        <v/>
      </c>
      <c r="W44" s="408"/>
      <c r="X44" s="408" t="str">
        <f>IF(AND('Mapa de Riesgos'!$I$83="Muy Baja",'Mapa de Riesgos'!$M$83="Moderado"),CONCATENATE("R",'Mapa de Riesgos'!$A$83),"")</f>
        <v/>
      </c>
      <c r="Y44" s="408"/>
      <c r="Z44" s="408" t="str">
        <f>IF(AND('Mapa de Riesgos'!$I$89="Muy Baja",'Mapa de Riesgos'!$M$89="Moderado"),CONCATENATE("R",'Mapa de Riesgos'!$A$89),"")</f>
        <v/>
      </c>
      <c r="AA44" s="409"/>
      <c r="AB44" s="391" t="str">
        <f>IF(AND('Mapa de Riesgos'!$I$65="Muy Baja",'Mapa de Riesgos'!$M$65="Mayor"),CONCATENATE("R",'Mapa de Riesgos'!$A$65),"")</f>
        <v/>
      </c>
      <c r="AC44" s="387"/>
      <c r="AD44" s="387" t="str">
        <f>IF(AND('Mapa de Riesgos'!$I$83="Muy Baja",'Mapa de Riesgos'!$M$83="Mayor"),CONCATENATE("R",'Mapa de Riesgos'!$A$83),"")</f>
        <v/>
      </c>
      <c r="AE44" s="387"/>
      <c r="AF44" s="387" t="str">
        <f>IF(AND('Mapa de Riesgos'!$I$89="Muy Baja",'Mapa de Riesgos'!$M$89="Mayor"),CONCATENATE("R",'Mapa de Riesgos'!$A$89),"")</f>
        <v/>
      </c>
      <c r="AG44" s="388"/>
      <c r="AH44" s="398" t="str">
        <f>IF(AND('Mapa de Riesgos'!$I$65="Muy Baja",'Mapa de Riesgos'!$M$65="Catastrófico"),CONCATENATE("R",'Mapa de Riesgos'!$A$65),"")</f>
        <v/>
      </c>
      <c r="AI44" s="399"/>
      <c r="AJ44" s="399" t="str">
        <f>IF(AND('Mapa de Riesgos'!$I$83="Muy Baja",'Mapa de Riesgos'!$M$83="Catastrófico"),CONCATENATE("R",'Mapa de Riesgos'!$A$83),"")</f>
        <v/>
      </c>
      <c r="AK44" s="399"/>
      <c r="AL44" s="399" t="str">
        <f>IF(AND('Mapa de Riesgos'!$I$89="Muy Baja",'Mapa de Riesgos'!$M$89="Catastrófico"),CONCATENATE("R",'Mapa de Riesgos'!$A$89),"")</f>
        <v/>
      </c>
      <c r="AM44" s="400"/>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row>
    <row r="45" spans="1:80" ht="15.75" thickBot="1" x14ac:dyDescent="0.3">
      <c r="A45" s="41"/>
      <c r="B45" s="340"/>
      <c r="C45" s="340"/>
      <c r="D45" s="341"/>
      <c r="E45" s="384"/>
      <c r="F45" s="385"/>
      <c r="G45" s="385"/>
      <c r="H45" s="385"/>
      <c r="I45" s="386"/>
      <c r="J45" s="419"/>
      <c r="K45" s="420"/>
      <c r="L45" s="420"/>
      <c r="M45" s="420"/>
      <c r="N45" s="420"/>
      <c r="O45" s="421"/>
      <c r="P45" s="419"/>
      <c r="Q45" s="420"/>
      <c r="R45" s="420"/>
      <c r="S45" s="420"/>
      <c r="T45" s="420"/>
      <c r="U45" s="421"/>
      <c r="V45" s="410"/>
      <c r="W45" s="411"/>
      <c r="X45" s="411"/>
      <c r="Y45" s="411"/>
      <c r="Z45" s="411"/>
      <c r="AA45" s="412"/>
      <c r="AB45" s="395"/>
      <c r="AC45" s="396"/>
      <c r="AD45" s="396"/>
      <c r="AE45" s="396"/>
      <c r="AF45" s="396"/>
      <c r="AG45" s="397"/>
      <c r="AH45" s="401"/>
      <c r="AI45" s="402"/>
      <c r="AJ45" s="402"/>
      <c r="AK45" s="402"/>
      <c r="AL45" s="402"/>
      <c r="AM45" s="403"/>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row>
    <row r="46" spans="1:80" x14ac:dyDescent="0.25">
      <c r="A46" s="41"/>
      <c r="B46" s="41"/>
      <c r="C46" s="41"/>
      <c r="D46" s="41"/>
      <c r="E46" s="41"/>
      <c r="F46" s="41"/>
      <c r="G46" s="41"/>
      <c r="H46" s="41"/>
      <c r="I46" s="41"/>
      <c r="J46" s="378" t="s">
        <v>120</v>
      </c>
      <c r="K46" s="379"/>
      <c r="L46" s="379"/>
      <c r="M46" s="379"/>
      <c r="N46" s="379"/>
      <c r="O46" s="380"/>
      <c r="P46" s="378" t="s">
        <v>121</v>
      </c>
      <c r="Q46" s="379"/>
      <c r="R46" s="379"/>
      <c r="S46" s="379"/>
      <c r="T46" s="379"/>
      <c r="U46" s="380"/>
      <c r="V46" s="378" t="s">
        <v>122</v>
      </c>
      <c r="W46" s="379"/>
      <c r="X46" s="379"/>
      <c r="Y46" s="379"/>
      <c r="Z46" s="379"/>
      <c r="AA46" s="380"/>
      <c r="AB46" s="378" t="s">
        <v>123</v>
      </c>
      <c r="AC46" s="394"/>
      <c r="AD46" s="379"/>
      <c r="AE46" s="379"/>
      <c r="AF46" s="379"/>
      <c r="AG46" s="380"/>
      <c r="AH46" s="378" t="s">
        <v>124</v>
      </c>
      <c r="AI46" s="379"/>
      <c r="AJ46" s="379"/>
      <c r="AK46" s="379"/>
      <c r="AL46" s="379"/>
      <c r="AM46" s="380"/>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row>
    <row r="47" spans="1:80" x14ac:dyDescent="0.25">
      <c r="A47" s="41"/>
      <c r="B47" s="41"/>
      <c r="C47" s="41"/>
      <c r="D47" s="41"/>
      <c r="E47" s="41"/>
      <c r="F47" s="41"/>
      <c r="G47" s="41"/>
      <c r="H47" s="41"/>
      <c r="I47" s="41"/>
      <c r="J47" s="381"/>
      <c r="K47" s="382"/>
      <c r="L47" s="382"/>
      <c r="M47" s="382"/>
      <c r="N47" s="382"/>
      <c r="O47" s="383"/>
      <c r="P47" s="381"/>
      <c r="Q47" s="382"/>
      <c r="R47" s="382"/>
      <c r="S47" s="382"/>
      <c r="T47" s="382"/>
      <c r="U47" s="383"/>
      <c r="V47" s="381"/>
      <c r="W47" s="382"/>
      <c r="X47" s="382"/>
      <c r="Y47" s="382"/>
      <c r="Z47" s="382"/>
      <c r="AA47" s="383"/>
      <c r="AB47" s="381"/>
      <c r="AC47" s="382"/>
      <c r="AD47" s="382"/>
      <c r="AE47" s="382"/>
      <c r="AF47" s="382"/>
      <c r="AG47" s="383"/>
      <c r="AH47" s="381"/>
      <c r="AI47" s="382"/>
      <c r="AJ47" s="382"/>
      <c r="AK47" s="382"/>
      <c r="AL47" s="382"/>
      <c r="AM47" s="383"/>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row>
    <row r="48" spans="1:80" x14ac:dyDescent="0.25">
      <c r="A48" s="41"/>
      <c r="B48" s="41"/>
      <c r="C48" s="41"/>
      <c r="D48" s="41"/>
      <c r="E48" s="41"/>
      <c r="F48" s="41"/>
      <c r="G48" s="41"/>
      <c r="H48" s="41"/>
      <c r="I48" s="41"/>
      <c r="J48" s="381"/>
      <c r="K48" s="382"/>
      <c r="L48" s="382"/>
      <c r="M48" s="382"/>
      <c r="N48" s="382"/>
      <c r="O48" s="383"/>
      <c r="P48" s="381"/>
      <c r="Q48" s="382"/>
      <c r="R48" s="382"/>
      <c r="S48" s="382"/>
      <c r="T48" s="382"/>
      <c r="U48" s="383"/>
      <c r="V48" s="381"/>
      <c r="W48" s="382"/>
      <c r="X48" s="382"/>
      <c r="Y48" s="382"/>
      <c r="Z48" s="382"/>
      <c r="AA48" s="383"/>
      <c r="AB48" s="381"/>
      <c r="AC48" s="382"/>
      <c r="AD48" s="382"/>
      <c r="AE48" s="382"/>
      <c r="AF48" s="382"/>
      <c r="AG48" s="383"/>
      <c r="AH48" s="381"/>
      <c r="AI48" s="382"/>
      <c r="AJ48" s="382"/>
      <c r="AK48" s="382"/>
      <c r="AL48" s="382"/>
      <c r="AM48" s="383"/>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row>
    <row r="49" spans="1:80" x14ac:dyDescent="0.25">
      <c r="A49" s="41"/>
      <c r="B49" s="41"/>
      <c r="C49" s="41"/>
      <c r="D49" s="41"/>
      <c r="E49" s="41"/>
      <c r="F49" s="41"/>
      <c r="G49" s="41"/>
      <c r="H49" s="41"/>
      <c r="I49" s="41"/>
      <c r="J49" s="381"/>
      <c r="K49" s="382"/>
      <c r="L49" s="382"/>
      <c r="M49" s="382"/>
      <c r="N49" s="382"/>
      <c r="O49" s="383"/>
      <c r="P49" s="381"/>
      <c r="Q49" s="382"/>
      <c r="R49" s="382"/>
      <c r="S49" s="382"/>
      <c r="T49" s="382"/>
      <c r="U49" s="383"/>
      <c r="V49" s="381"/>
      <c r="W49" s="382"/>
      <c r="X49" s="382"/>
      <c r="Y49" s="382"/>
      <c r="Z49" s="382"/>
      <c r="AA49" s="383"/>
      <c r="AB49" s="381"/>
      <c r="AC49" s="382"/>
      <c r="AD49" s="382"/>
      <c r="AE49" s="382"/>
      <c r="AF49" s="382"/>
      <c r="AG49" s="383"/>
      <c r="AH49" s="381"/>
      <c r="AI49" s="382"/>
      <c r="AJ49" s="382"/>
      <c r="AK49" s="382"/>
      <c r="AL49" s="382"/>
      <c r="AM49" s="383"/>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row>
    <row r="50" spans="1:80" x14ac:dyDescent="0.25">
      <c r="A50" s="41"/>
      <c r="B50" s="41"/>
      <c r="C50" s="41"/>
      <c r="D50" s="41"/>
      <c r="E50" s="41"/>
      <c r="F50" s="41"/>
      <c r="G50" s="41"/>
      <c r="H50" s="41"/>
      <c r="I50" s="41"/>
      <c r="J50" s="381"/>
      <c r="K50" s="382"/>
      <c r="L50" s="382"/>
      <c r="M50" s="382"/>
      <c r="N50" s="382"/>
      <c r="O50" s="383"/>
      <c r="P50" s="381"/>
      <c r="Q50" s="382"/>
      <c r="R50" s="382"/>
      <c r="S50" s="382"/>
      <c r="T50" s="382"/>
      <c r="U50" s="383"/>
      <c r="V50" s="381"/>
      <c r="W50" s="382"/>
      <c r="X50" s="382"/>
      <c r="Y50" s="382"/>
      <c r="Z50" s="382"/>
      <c r="AA50" s="383"/>
      <c r="AB50" s="381"/>
      <c r="AC50" s="382"/>
      <c r="AD50" s="382"/>
      <c r="AE50" s="382"/>
      <c r="AF50" s="382"/>
      <c r="AG50" s="383"/>
      <c r="AH50" s="381"/>
      <c r="AI50" s="382"/>
      <c r="AJ50" s="382"/>
      <c r="AK50" s="382"/>
      <c r="AL50" s="382"/>
      <c r="AM50" s="383"/>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row>
    <row r="51" spans="1:80" ht="15.75" thickBot="1" x14ac:dyDescent="0.3">
      <c r="A51" s="41"/>
      <c r="B51" s="41"/>
      <c r="C51" s="41"/>
      <c r="D51" s="41"/>
      <c r="E51" s="41"/>
      <c r="F51" s="41"/>
      <c r="G51" s="41"/>
      <c r="H51" s="41"/>
      <c r="I51" s="41"/>
      <c r="J51" s="384"/>
      <c r="K51" s="385"/>
      <c r="L51" s="385"/>
      <c r="M51" s="385"/>
      <c r="N51" s="385"/>
      <c r="O51" s="386"/>
      <c r="P51" s="384"/>
      <c r="Q51" s="385"/>
      <c r="R51" s="385"/>
      <c r="S51" s="385"/>
      <c r="T51" s="385"/>
      <c r="U51" s="386"/>
      <c r="V51" s="384"/>
      <c r="W51" s="385"/>
      <c r="X51" s="385"/>
      <c r="Y51" s="385"/>
      <c r="Z51" s="385"/>
      <c r="AA51" s="386"/>
      <c r="AB51" s="384"/>
      <c r="AC51" s="385"/>
      <c r="AD51" s="385"/>
      <c r="AE51" s="385"/>
      <c r="AF51" s="385"/>
      <c r="AG51" s="386"/>
      <c r="AH51" s="384"/>
      <c r="AI51" s="385"/>
      <c r="AJ51" s="385"/>
      <c r="AK51" s="385"/>
      <c r="AL51" s="385"/>
      <c r="AM51" s="386"/>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row>
    <row r="52" spans="1:80"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row>
    <row r="53" spans="1:80" ht="15" customHeight="1" x14ac:dyDescent="0.25">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row>
    <row r="54" spans="1:80" ht="15" customHeight="1" x14ac:dyDescent="0.25">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row>
    <row r="55" spans="1:80"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row>
    <row r="56" spans="1:80"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row>
    <row r="57" spans="1:80"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row>
    <row r="59" spans="1:80"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row>
    <row r="61" spans="1:80"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row>
    <row r="63" spans="1:80"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row>
    <row r="65" spans="1:80"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row>
    <row r="66" spans="1:80"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row>
    <row r="67" spans="1:80"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row>
    <row r="68" spans="1:80"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row>
    <row r="69" spans="1:80"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row>
    <row r="70" spans="1:80"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row>
    <row r="71" spans="1:80"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row>
    <row r="72" spans="1:80"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row>
    <row r="73" spans="1:80"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row>
    <row r="74" spans="1:80"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row>
    <row r="75" spans="1:80"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row>
    <row r="76" spans="1:80"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row>
    <row r="77" spans="1:80"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row>
    <row r="78" spans="1:80"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row>
    <row r="79" spans="1:80"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row>
    <row r="80" spans="1:80"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row>
    <row r="81" spans="1:63"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row>
    <row r="82" spans="1:63"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row>
    <row r="83" spans="1:63"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row>
    <row r="84" spans="1:63"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row>
    <row r="85" spans="1:63"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row>
    <row r="86" spans="1:63"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row>
    <row r="87" spans="1:63"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row>
    <row r="88" spans="1:63"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row>
    <row r="89" spans="1:63"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row>
    <row r="90" spans="1:63"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row>
    <row r="91" spans="1:63"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row>
    <row r="92" spans="1:63"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row>
    <row r="93" spans="1:63"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row>
    <row r="94" spans="1:63"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row>
    <row r="95" spans="1:63"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row>
    <row r="96" spans="1:63"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row>
    <row r="97" spans="1:63"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row>
    <row r="98" spans="1:63"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row>
    <row r="99" spans="1:63"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row>
    <row r="100" spans="1:63"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row>
    <row r="101" spans="1:63"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row>
    <row r="102" spans="1:63"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row>
    <row r="103" spans="1:63"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row>
    <row r="104" spans="1:63"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row>
    <row r="105" spans="1:63"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row>
    <row r="106" spans="1:63"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row>
    <row r="107" spans="1:63"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row>
    <row r="108" spans="1:63"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row>
    <row r="109" spans="1:63"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row>
    <row r="110" spans="1:63"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row>
    <row r="111" spans="1:63"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row>
    <row r="112" spans="1:63"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row>
    <row r="113" spans="1:63"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row>
    <row r="114" spans="1:63"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row>
    <row r="115" spans="1:63"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row>
    <row r="116" spans="1:63"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row>
    <row r="117" spans="1:63"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row>
    <row r="118" spans="1:63"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row>
    <row r="119" spans="1:63"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row>
    <row r="120" spans="1:63"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row>
    <row r="121" spans="1:63"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row>
    <row r="122" spans="1:63" x14ac:dyDescent="0.25">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row>
    <row r="123" spans="1:63" x14ac:dyDescent="0.25">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row>
    <row r="124" spans="1:63" x14ac:dyDescent="0.25">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row>
    <row r="125" spans="1:63" x14ac:dyDescent="0.25">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row>
    <row r="126" spans="1:63" x14ac:dyDescent="0.25">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row>
    <row r="127" spans="1:63" x14ac:dyDescent="0.25">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row>
    <row r="128" spans="1:63" x14ac:dyDescent="0.25">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row>
    <row r="129" spans="2:63" x14ac:dyDescent="0.25">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row>
    <row r="130" spans="2:63" x14ac:dyDescent="0.25">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row>
    <row r="131" spans="2:63" x14ac:dyDescent="0.25">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row>
    <row r="132" spans="2:63" x14ac:dyDescent="0.25">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row>
    <row r="133" spans="2:63" x14ac:dyDescent="0.25">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row>
    <row r="134" spans="2:63" x14ac:dyDescent="0.25">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row>
    <row r="135" spans="2:63" x14ac:dyDescent="0.25">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row>
    <row r="136" spans="2:63" x14ac:dyDescent="0.25">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row>
    <row r="137" spans="2:63" x14ac:dyDescent="0.25">
      <c r="B137" s="41"/>
      <c r="C137" s="41"/>
      <c r="D137" s="41"/>
      <c r="E137" s="41"/>
      <c r="F137" s="41"/>
      <c r="G137" s="41"/>
      <c r="H137" s="41"/>
      <c r="I137" s="41"/>
    </row>
    <row r="138" spans="2:63" x14ac:dyDescent="0.25">
      <c r="B138" s="41"/>
      <c r="C138" s="41"/>
      <c r="D138" s="41"/>
      <c r="E138" s="41"/>
      <c r="F138" s="41"/>
      <c r="G138" s="41"/>
      <c r="H138" s="41"/>
      <c r="I138" s="41"/>
    </row>
    <row r="139" spans="2:63" x14ac:dyDescent="0.25">
      <c r="B139" s="41"/>
      <c r="C139" s="41"/>
      <c r="D139" s="41"/>
      <c r="E139" s="41"/>
      <c r="F139" s="41"/>
      <c r="G139" s="41"/>
      <c r="H139" s="41"/>
      <c r="I139" s="41"/>
    </row>
    <row r="140" spans="2:63" x14ac:dyDescent="0.25">
      <c r="B140" s="41"/>
      <c r="C140" s="41"/>
      <c r="D140" s="41"/>
      <c r="E140" s="41"/>
      <c r="F140" s="41"/>
      <c r="G140" s="41"/>
      <c r="H140" s="41"/>
      <c r="I140" s="4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D49" sqref="AD49"/>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row>
    <row r="2" spans="1:91" ht="18" customHeight="1" x14ac:dyDescent="0.25">
      <c r="A2" s="41"/>
      <c r="B2" s="451" t="s">
        <v>125</v>
      </c>
      <c r="C2" s="452"/>
      <c r="D2" s="452"/>
      <c r="E2" s="452"/>
      <c r="F2" s="452"/>
      <c r="G2" s="452"/>
      <c r="H2" s="452"/>
      <c r="I2" s="452"/>
      <c r="J2" s="393" t="s">
        <v>17</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row>
    <row r="3" spans="1:91" ht="18.75" customHeight="1" x14ac:dyDescent="0.25">
      <c r="A3" s="41"/>
      <c r="B3" s="452"/>
      <c r="C3" s="452"/>
      <c r="D3" s="452"/>
      <c r="E3" s="452"/>
      <c r="F3" s="452"/>
      <c r="G3" s="452"/>
      <c r="H3" s="452"/>
      <c r="I3" s="452"/>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row>
    <row r="4" spans="1:91" ht="15" customHeight="1" x14ac:dyDescent="0.25">
      <c r="A4" s="41"/>
      <c r="B4" s="452"/>
      <c r="C4" s="452"/>
      <c r="D4" s="452"/>
      <c r="E4" s="452"/>
      <c r="F4" s="452"/>
      <c r="G4" s="452"/>
      <c r="H4" s="452"/>
      <c r="I4" s="452"/>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row>
    <row r="5" spans="1:91"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row>
    <row r="6" spans="1:91" ht="15" customHeight="1" x14ac:dyDescent="0.25">
      <c r="A6" s="41"/>
      <c r="B6" s="340" t="s">
        <v>110</v>
      </c>
      <c r="C6" s="340"/>
      <c r="D6" s="341"/>
      <c r="E6" s="435" t="s">
        <v>111</v>
      </c>
      <c r="F6" s="436"/>
      <c r="G6" s="436"/>
      <c r="H6" s="436"/>
      <c r="I6" s="453"/>
      <c r="J6" s="4" t="str">
        <f>IF(AND('Mapa de Riesgos'!$Z$11="Muy Alta",'Mapa de Riesgos'!$AB$11="Leve"),CONCATENATE("R1C",'Mapa de Riesgos'!$P$11),"")</f>
        <v/>
      </c>
      <c r="K6" s="5" t="str">
        <f>IF(AND('Mapa de Riesgos'!$Z$12="Muy Alta",'Mapa de Riesgos'!$AB$12="Leve"),CONCATENATE("R1C",'Mapa de Riesgos'!$P$12),"")</f>
        <v/>
      </c>
      <c r="L6" s="5" t="str">
        <f>IF(AND('Mapa de Riesgos'!$Z$13="Muy Alta",'Mapa de Riesgos'!$AB$13="Leve"),CONCATENATE("R1C",'Mapa de Riesgos'!$P$13),"")</f>
        <v/>
      </c>
      <c r="M6" s="5" t="str">
        <f>IF(AND('Mapa de Riesgos'!$Z$14="Muy Alta",'Mapa de Riesgos'!$AB$14="Leve"),CONCATENATE("R1C",'Mapa de Riesgos'!$P$14),"")</f>
        <v/>
      </c>
      <c r="N6" s="5" t="str">
        <f>IF(AND('Mapa de Riesgos'!$Z$15="Muy Alta",'Mapa de Riesgos'!$AB$15="Leve"),CONCATENATE("R1C",'Mapa de Riesgos'!$P$15),"")</f>
        <v/>
      </c>
      <c r="O6" s="6" t="str">
        <f>IF(AND('Mapa de Riesgos'!$Z$16="Muy Alta",'Mapa de Riesgos'!$AB$16="Leve"),CONCATENATE("R1C",'Mapa de Riesgos'!$P$16),"")</f>
        <v/>
      </c>
      <c r="P6" s="4" t="str">
        <f>IF(AND('Mapa de Riesgos'!$Z$11="Muy Alta",'Mapa de Riesgos'!$AB$11="Menor"),CONCATENATE("R1C",'Mapa de Riesgos'!$P$11),"")</f>
        <v/>
      </c>
      <c r="Q6" s="5" t="str">
        <f>IF(AND('Mapa de Riesgos'!$Z$12="Muy Alta",'Mapa de Riesgos'!$AB$12="Menor"),CONCATENATE("R1C",'Mapa de Riesgos'!$P$12),"")</f>
        <v/>
      </c>
      <c r="R6" s="5" t="str">
        <f>IF(AND('Mapa de Riesgos'!$Z$13="Muy Alta",'Mapa de Riesgos'!$AB$13="Menor"),CONCATENATE("R1C",'Mapa de Riesgos'!$P$13),"")</f>
        <v/>
      </c>
      <c r="S6" s="5" t="str">
        <f>IF(AND('Mapa de Riesgos'!$Z$14="Muy Alta",'Mapa de Riesgos'!$AB$14="Menor"),CONCATENATE("R1C",'Mapa de Riesgos'!$P$14),"")</f>
        <v/>
      </c>
      <c r="T6" s="5" t="str">
        <f>IF(AND('Mapa de Riesgos'!$Z$15="Muy Alta",'Mapa de Riesgos'!$AB$15="Menor"),CONCATENATE("R1C",'Mapa de Riesgos'!$P$15),"")</f>
        <v/>
      </c>
      <c r="U6" s="6" t="str">
        <f>IF(AND('Mapa de Riesgos'!$Z$16="Muy Alta",'Mapa de Riesgos'!$AB$16="Menor"),CONCATENATE("R1C",'Mapa de Riesgos'!$P$16),"")</f>
        <v/>
      </c>
      <c r="V6" s="4" t="str">
        <f>IF(AND('Mapa de Riesgos'!$Z$11="Muy Alta",'Mapa de Riesgos'!$AB$11="Moderado"),CONCATENATE("R1C",'Mapa de Riesgos'!$P$11),"")</f>
        <v/>
      </c>
      <c r="W6" s="5" t="str">
        <f>IF(AND('Mapa de Riesgos'!$Z$12="Muy Alta",'Mapa de Riesgos'!$AB$12="Moderado"),CONCATENATE("R1C",'Mapa de Riesgos'!$P$12),"")</f>
        <v/>
      </c>
      <c r="X6" s="5" t="str">
        <f>IF(AND('Mapa de Riesgos'!$Z$13="Muy Alta",'Mapa de Riesgos'!$AB$13="Moderado"),CONCATENATE("R1C",'Mapa de Riesgos'!$P$13),"")</f>
        <v/>
      </c>
      <c r="Y6" s="5" t="str">
        <f>IF(AND('Mapa de Riesgos'!$Z$14="Muy Alta",'Mapa de Riesgos'!$AB$14="Moderado"),CONCATENATE("R1C",'Mapa de Riesgos'!$P$14),"")</f>
        <v/>
      </c>
      <c r="Z6" s="5" t="str">
        <f>IF(AND('Mapa de Riesgos'!$Z$15="Muy Alta",'Mapa de Riesgos'!$AB$15="Moderado"),CONCATENATE("R1C",'Mapa de Riesgos'!$P$15),"")</f>
        <v/>
      </c>
      <c r="AA6" s="6" t="str">
        <f>IF(AND('Mapa de Riesgos'!$Z$16="Muy Alta",'Mapa de Riesgos'!$AB$16="Moderado"),CONCATENATE("R1C",'Mapa de Riesgos'!$P$16),"")</f>
        <v/>
      </c>
      <c r="AB6" s="4" t="str">
        <f>IF(AND('Mapa de Riesgos'!$Z$11="Muy Alta",'Mapa de Riesgos'!$AB$11="Mayor"),CONCATENATE("R1C",'Mapa de Riesgos'!$P$11),"")</f>
        <v/>
      </c>
      <c r="AC6" s="5" t="str">
        <f>IF(AND('Mapa de Riesgos'!$Z$12="Muy Alta",'Mapa de Riesgos'!$AB$12="Mayor"),CONCATENATE("R1C",'Mapa de Riesgos'!$P$12),"")</f>
        <v/>
      </c>
      <c r="AD6" s="5" t="str">
        <f>IF(AND('Mapa de Riesgos'!$Z$13="Muy Alta",'Mapa de Riesgos'!$AB$13="Mayor"),CONCATENATE("R1C",'Mapa de Riesgos'!$P$13),"")</f>
        <v/>
      </c>
      <c r="AE6" s="5" t="str">
        <f>IF(AND('Mapa de Riesgos'!$Z$14="Muy Alta",'Mapa de Riesgos'!$AB$14="Mayor"),CONCATENATE("R1C",'Mapa de Riesgos'!$P$14),"")</f>
        <v/>
      </c>
      <c r="AF6" s="5" t="str">
        <f>IF(AND('Mapa de Riesgos'!$Z$15="Muy Alta",'Mapa de Riesgos'!$AB$15="Mayor"),CONCATENATE("R1C",'Mapa de Riesgos'!$P$15),"")</f>
        <v/>
      </c>
      <c r="AG6" s="6" t="str">
        <f>IF(AND('Mapa de Riesgos'!$Z$16="Muy Alta",'Mapa de Riesgos'!$AB$16="Mayor"),CONCATENATE("R1C",'Mapa de Riesgos'!$P$16),"")</f>
        <v/>
      </c>
      <c r="AH6" s="7" t="str">
        <f>IF(AND('Mapa de Riesgos'!$Z$11="Muy Alta",'Mapa de Riesgos'!$AB$11="Catastrófico"),CONCATENATE("R1C",'Mapa de Riesgos'!$P$11),"")</f>
        <v/>
      </c>
      <c r="AI6" s="8" t="str">
        <f>IF(AND('Mapa de Riesgos'!$Z$12="Muy Alta",'Mapa de Riesgos'!$AB$12="Catastrófico"),CONCATENATE("R1C",'Mapa de Riesgos'!$P$12),"")</f>
        <v/>
      </c>
      <c r="AJ6" s="8" t="str">
        <f>IF(AND('Mapa de Riesgos'!$Z$13="Muy Alta",'Mapa de Riesgos'!$AB$13="Catastrófico"),CONCATENATE("R1C",'Mapa de Riesgos'!$P$13),"")</f>
        <v/>
      </c>
      <c r="AK6" s="8" t="str">
        <f>IF(AND('Mapa de Riesgos'!$Z$14="Muy Alta",'Mapa de Riesgos'!$AB$14="Catastrófico"),CONCATENATE("R1C",'Mapa de Riesgos'!$P$14),"")</f>
        <v/>
      </c>
      <c r="AL6" s="8" t="str">
        <f>IF(AND('Mapa de Riesgos'!$Z$15="Muy Alta",'Mapa de Riesgos'!$AB$15="Catastrófico"),CONCATENATE("R1C",'Mapa de Riesgos'!$P$15),"")</f>
        <v/>
      </c>
      <c r="AM6" s="9" t="str">
        <f>IF(AND('Mapa de Riesgos'!$Z$16="Muy Alta",'Mapa de Riesgos'!$AB$16="Catastrófico"),CONCATENATE("R1C",'Mapa de Riesgos'!$P$16),"")</f>
        <v/>
      </c>
      <c r="AN6" s="41"/>
      <c r="AO6" s="442" t="s">
        <v>112</v>
      </c>
      <c r="AP6" s="443"/>
      <c r="AQ6" s="443"/>
      <c r="AR6" s="443"/>
      <c r="AS6" s="443"/>
      <c r="AT6" s="444"/>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row>
    <row r="7" spans="1:91" ht="15" customHeight="1" x14ac:dyDescent="0.25">
      <c r="A7" s="41"/>
      <c r="B7" s="340"/>
      <c r="C7" s="340"/>
      <c r="D7" s="341"/>
      <c r="E7" s="439"/>
      <c r="F7" s="438"/>
      <c r="G7" s="438"/>
      <c r="H7" s="438"/>
      <c r="I7" s="454"/>
      <c r="J7" s="10" t="str">
        <f>IF(AND('Mapa de Riesgos'!$Z$29="Muy Alta",'Mapa de Riesgos'!$AB$29="Leve"),CONCATENATE("R2C",'Mapa de Riesgos'!$P$29),"")</f>
        <v/>
      </c>
      <c r="K7" s="11" t="str">
        <f>IF(AND('Mapa de Riesgos'!$Z$30="Muy Alta",'Mapa de Riesgos'!$AB$30="Leve"),CONCATENATE("R2C",'Mapa de Riesgos'!$P$30),"")</f>
        <v/>
      </c>
      <c r="L7" s="11" t="str">
        <f>IF(AND('Mapa de Riesgos'!$Z$31="Muy Alta",'Mapa de Riesgos'!$AB$31="Leve"),CONCATENATE("R2C",'Mapa de Riesgos'!$P$31),"")</f>
        <v/>
      </c>
      <c r="M7" s="11" t="str">
        <f>IF(AND('Mapa de Riesgos'!$Z$32="Muy Alta",'Mapa de Riesgos'!$AB$32="Leve"),CONCATENATE("R2C",'Mapa de Riesgos'!$P$32),"")</f>
        <v/>
      </c>
      <c r="N7" s="11" t="str">
        <f>IF(AND('Mapa de Riesgos'!$Z$33="Muy Alta",'Mapa de Riesgos'!$AB$33="Leve"),CONCATENATE("R2C",'Mapa de Riesgos'!$P$33),"")</f>
        <v/>
      </c>
      <c r="O7" s="12" t="str">
        <f>IF(AND('Mapa de Riesgos'!$Z$34="Muy Alta",'Mapa de Riesgos'!$AB$34="Leve"),CONCATENATE("R2C",'Mapa de Riesgos'!$P$34),"")</f>
        <v/>
      </c>
      <c r="P7" s="10" t="str">
        <f>IF(AND('Mapa de Riesgos'!$Z$29="Muy Alta",'Mapa de Riesgos'!$AB$29="Menor"),CONCATENATE("R2C",'Mapa de Riesgos'!$P$29),"")</f>
        <v/>
      </c>
      <c r="Q7" s="11" t="str">
        <f>IF(AND('Mapa de Riesgos'!$Z$30="Muy Alta",'Mapa de Riesgos'!$AB$30="Menor"),CONCATENATE("R2C",'Mapa de Riesgos'!$P$30),"")</f>
        <v/>
      </c>
      <c r="R7" s="11" t="str">
        <f>IF(AND('Mapa de Riesgos'!$Z$31="Muy Alta",'Mapa de Riesgos'!$AB$31="Menor"),CONCATENATE("R2C",'Mapa de Riesgos'!$P$31),"")</f>
        <v/>
      </c>
      <c r="S7" s="11" t="str">
        <f>IF(AND('Mapa de Riesgos'!$Z$32="Muy Alta",'Mapa de Riesgos'!$AB$32="Menor"),CONCATENATE("R2C",'Mapa de Riesgos'!$P$32),"")</f>
        <v/>
      </c>
      <c r="T7" s="11" t="str">
        <f>IF(AND('Mapa de Riesgos'!$Z$33="Muy Alta",'Mapa de Riesgos'!$AB$33="Menor"),CONCATENATE("R2C",'Mapa de Riesgos'!$P$33),"")</f>
        <v/>
      </c>
      <c r="U7" s="12" t="str">
        <f>IF(AND('Mapa de Riesgos'!$Z$34="Muy Alta",'Mapa de Riesgos'!$AB$34="Menor"),CONCATENATE("R2C",'Mapa de Riesgos'!$P$34),"")</f>
        <v/>
      </c>
      <c r="V7" s="10" t="str">
        <f>IF(AND('Mapa de Riesgos'!$Z$29="Muy Alta",'Mapa de Riesgos'!$AB$29="Moderado"),CONCATENATE("R2C",'Mapa de Riesgos'!$P$29),"")</f>
        <v/>
      </c>
      <c r="W7" s="11" t="str">
        <f>IF(AND('Mapa de Riesgos'!$Z$30="Muy Alta",'Mapa de Riesgos'!$AB$30="Moderado"),CONCATENATE("R2C",'Mapa de Riesgos'!$P$30),"")</f>
        <v/>
      </c>
      <c r="X7" s="11" t="str">
        <f>IF(AND('Mapa de Riesgos'!$Z$31="Muy Alta",'Mapa de Riesgos'!$AB$31="Moderado"),CONCATENATE("R2C",'Mapa de Riesgos'!$P$31),"")</f>
        <v/>
      </c>
      <c r="Y7" s="11" t="str">
        <f>IF(AND('Mapa de Riesgos'!$Z$32="Muy Alta",'Mapa de Riesgos'!$AB$32="Moderado"),CONCATENATE("R2C",'Mapa de Riesgos'!$P$32),"")</f>
        <v/>
      </c>
      <c r="Z7" s="11" t="str">
        <f>IF(AND('Mapa de Riesgos'!$Z$33="Muy Alta",'Mapa de Riesgos'!$AB$33="Moderado"),CONCATENATE("R2C",'Mapa de Riesgos'!$P$33),"")</f>
        <v/>
      </c>
      <c r="AA7" s="12" t="str">
        <f>IF(AND('Mapa de Riesgos'!$Z$34="Muy Alta",'Mapa de Riesgos'!$AB$34="Moderado"),CONCATENATE("R2C",'Mapa de Riesgos'!$P$34),"")</f>
        <v/>
      </c>
      <c r="AB7" s="10" t="str">
        <f>IF(AND('Mapa de Riesgos'!$Z$29="Muy Alta",'Mapa de Riesgos'!$AB$29="Mayor"),CONCATENATE("R2C",'Mapa de Riesgos'!$P$29),"")</f>
        <v/>
      </c>
      <c r="AC7" s="11" t="str">
        <f>IF(AND('Mapa de Riesgos'!$Z$30="Muy Alta",'Mapa de Riesgos'!$AB$30="Mayor"),CONCATENATE("R2C",'Mapa de Riesgos'!$P$30),"")</f>
        <v/>
      </c>
      <c r="AD7" s="11" t="str">
        <f>IF(AND('Mapa de Riesgos'!$Z$31="Muy Alta",'Mapa de Riesgos'!$AB$31="Mayor"),CONCATENATE("R2C",'Mapa de Riesgos'!$P$31),"")</f>
        <v/>
      </c>
      <c r="AE7" s="11" t="str">
        <f>IF(AND('Mapa de Riesgos'!$Z$32="Muy Alta",'Mapa de Riesgos'!$AB$32="Mayor"),CONCATENATE("R2C",'Mapa de Riesgos'!$P$32),"")</f>
        <v/>
      </c>
      <c r="AF7" s="11" t="str">
        <f>IF(AND('Mapa de Riesgos'!$Z$33="Muy Alta",'Mapa de Riesgos'!$AB$33="Mayor"),CONCATENATE("R2C",'Mapa de Riesgos'!$P$33),"")</f>
        <v/>
      </c>
      <c r="AG7" s="12" t="str">
        <f>IF(AND('Mapa de Riesgos'!$Z$34="Muy Alta",'Mapa de Riesgos'!$AB$34="Mayor"),CONCATENATE("R2C",'Mapa de Riesgos'!$P$34),"")</f>
        <v/>
      </c>
      <c r="AH7" s="13" t="str">
        <f>IF(AND('Mapa de Riesgos'!$Z$29="Muy Alta",'Mapa de Riesgos'!$AB$29="Catastrófico"),CONCATENATE("R2C",'Mapa de Riesgos'!$P$29),"")</f>
        <v/>
      </c>
      <c r="AI7" s="14" t="str">
        <f>IF(AND('Mapa de Riesgos'!$Z$30="Muy Alta",'Mapa de Riesgos'!$AB$30="Catastrófico"),CONCATENATE("R2C",'Mapa de Riesgos'!$P$30),"")</f>
        <v/>
      </c>
      <c r="AJ7" s="14" t="str">
        <f>IF(AND('Mapa de Riesgos'!$Z$31="Muy Alta",'Mapa de Riesgos'!$AB$31="Catastrófico"),CONCATENATE("R2C",'Mapa de Riesgos'!$P$31),"")</f>
        <v/>
      </c>
      <c r="AK7" s="14" t="str">
        <f>IF(AND('Mapa de Riesgos'!$Z$32="Muy Alta",'Mapa de Riesgos'!$AB$32="Catastrófico"),CONCATENATE("R2C",'Mapa de Riesgos'!$P$32),"")</f>
        <v/>
      </c>
      <c r="AL7" s="14" t="str">
        <f>IF(AND('Mapa de Riesgos'!$Z$33="Muy Alta",'Mapa de Riesgos'!$AB$33="Catastrófico"),CONCATENATE("R2C",'Mapa de Riesgos'!$P$33),"")</f>
        <v/>
      </c>
      <c r="AM7" s="15" t="str">
        <f>IF(AND('Mapa de Riesgos'!$Z$34="Muy Alta",'Mapa de Riesgos'!$AB$34="Catastrófico"),CONCATENATE("R2C",'Mapa de Riesgos'!$P$34),"")</f>
        <v/>
      </c>
      <c r="AN7" s="41"/>
      <c r="AO7" s="445"/>
      <c r="AP7" s="446"/>
      <c r="AQ7" s="446"/>
      <c r="AR7" s="446"/>
      <c r="AS7" s="446"/>
      <c r="AT7" s="447"/>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row>
    <row r="8" spans="1:91" ht="15" customHeight="1" x14ac:dyDescent="0.25">
      <c r="A8" s="41"/>
      <c r="B8" s="340"/>
      <c r="C8" s="340"/>
      <c r="D8" s="341"/>
      <c r="E8" s="439"/>
      <c r="F8" s="438"/>
      <c r="G8" s="438"/>
      <c r="H8" s="438"/>
      <c r="I8" s="454"/>
      <c r="J8" s="10" t="str">
        <f>IF(AND('Mapa de Riesgos'!$Z$35="Muy Alta",'Mapa de Riesgos'!$AB$35="Leve"),CONCATENATE("R3C",'Mapa de Riesgos'!$P$35),"")</f>
        <v/>
      </c>
      <c r="K8" s="11" t="str">
        <f>IF(AND('Mapa de Riesgos'!$Z$36="Muy Alta",'Mapa de Riesgos'!$AB$36="Leve"),CONCATENATE("R3C",'Mapa de Riesgos'!$P$36),"")</f>
        <v/>
      </c>
      <c r="L8" s="11" t="str">
        <f>IF(AND('Mapa de Riesgos'!$Z$37="Muy Alta",'Mapa de Riesgos'!$AB$37="Leve"),CONCATENATE("R3C",'Mapa de Riesgos'!$P$37),"")</f>
        <v/>
      </c>
      <c r="M8" s="11" t="str">
        <f>IF(AND('Mapa de Riesgos'!$Z$38="Muy Alta",'Mapa de Riesgos'!$AB$38="Leve"),CONCATENATE("R3C",'Mapa de Riesgos'!$P$38),"")</f>
        <v/>
      </c>
      <c r="N8" s="11" t="str">
        <f>IF(AND('Mapa de Riesgos'!$Z$39="Muy Alta",'Mapa de Riesgos'!$AB$39="Leve"),CONCATENATE("R3C",'Mapa de Riesgos'!$P$39),"")</f>
        <v/>
      </c>
      <c r="O8" s="12" t="str">
        <f>IF(AND('Mapa de Riesgos'!$Z$40="Muy Alta",'Mapa de Riesgos'!$AB$40="Leve"),CONCATENATE("R3C",'Mapa de Riesgos'!$P$40),"")</f>
        <v/>
      </c>
      <c r="P8" s="10" t="str">
        <f>IF(AND('Mapa de Riesgos'!$Z$35="Muy Alta",'Mapa de Riesgos'!$AB$35="Menor"),CONCATENATE("R3C",'Mapa de Riesgos'!$P$35),"")</f>
        <v/>
      </c>
      <c r="Q8" s="11" t="str">
        <f>IF(AND('Mapa de Riesgos'!$Z$36="Muy Alta",'Mapa de Riesgos'!$AB$36="Menor"),CONCATENATE("R3C",'Mapa de Riesgos'!$P$36),"")</f>
        <v/>
      </c>
      <c r="R8" s="11" t="str">
        <f>IF(AND('Mapa de Riesgos'!$Z$37="Muy Alta",'Mapa de Riesgos'!$AB$37="Menor"),CONCATENATE("R3C",'Mapa de Riesgos'!$P$37),"")</f>
        <v/>
      </c>
      <c r="S8" s="11" t="str">
        <f>IF(AND('Mapa de Riesgos'!$Z$38="Muy Alta",'Mapa de Riesgos'!$AB$38="Menor"),CONCATENATE("R3C",'Mapa de Riesgos'!$P$38),"")</f>
        <v/>
      </c>
      <c r="T8" s="11" t="str">
        <f>IF(AND('Mapa de Riesgos'!$Z$39="Muy Alta",'Mapa de Riesgos'!$AB$39="Menor"),CONCATENATE("R3C",'Mapa de Riesgos'!$P$39),"")</f>
        <v/>
      </c>
      <c r="U8" s="12" t="str">
        <f>IF(AND('Mapa de Riesgos'!$Z$40="Muy Alta",'Mapa de Riesgos'!$AB$40="Menor"),CONCATENATE("R3C",'Mapa de Riesgos'!$P$40),"")</f>
        <v/>
      </c>
      <c r="V8" s="10" t="str">
        <f>IF(AND('Mapa de Riesgos'!$Z$35="Muy Alta",'Mapa de Riesgos'!$AB$35="Moderado"),CONCATENATE("R3C",'Mapa de Riesgos'!$P$35),"")</f>
        <v/>
      </c>
      <c r="W8" s="11" t="str">
        <f>IF(AND('Mapa de Riesgos'!$Z$36="Muy Alta",'Mapa de Riesgos'!$AB$36="Moderado"),CONCATENATE("R3C",'Mapa de Riesgos'!$P$36),"")</f>
        <v/>
      </c>
      <c r="X8" s="11" t="str">
        <f>IF(AND('Mapa de Riesgos'!$Z$37="Muy Alta",'Mapa de Riesgos'!$AB$37="Moderado"),CONCATENATE("R3C",'Mapa de Riesgos'!$P$37),"")</f>
        <v/>
      </c>
      <c r="Y8" s="11" t="str">
        <f>IF(AND('Mapa de Riesgos'!$Z$38="Muy Alta",'Mapa de Riesgos'!$AB$38="Moderado"),CONCATENATE("R3C",'Mapa de Riesgos'!$P$38),"")</f>
        <v/>
      </c>
      <c r="Z8" s="11" t="str">
        <f>IF(AND('Mapa de Riesgos'!$Z$39="Muy Alta",'Mapa de Riesgos'!$AB$39="Moderado"),CONCATENATE("R3C",'Mapa de Riesgos'!$P$39),"")</f>
        <v/>
      </c>
      <c r="AA8" s="12" t="str">
        <f>IF(AND('Mapa de Riesgos'!$Z$40="Muy Alta",'Mapa de Riesgos'!$AB$40="Moderado"),CONCATENATE("R3C",'Mapa de Riesgos'!$P$40),"")</f>
        <v/>
      </c>
      <c r="AB8" s="10" t="str">
        <f>IF(AND('Mapa de Riesgos'!$Z$35="Muy Alta",'Mapa de Riesgos'!$AB$35="Mayor"),CONCATENATE("R3C",'Mapa de Riesgos'!$P$35),"")</f>
        <v/>
      </c>
      <c r="AC8" s="11" t="str">
        <f>IF(AND('Mapa de Riesgos'!$Z$36="Muy Alta",'Mapa de Riesgos'!$AB$36="Mayor"),CONCATENATE("R3C",'Mapa de Riesgos'!$P$36),"")</f>
        <v/>
      </c>
      <c r="AD8" s="11" t="str">
        <f>IF(AND('Mapa de Riesgos'!$Z$37="Muy Alta",'Mapa de Riesgos'!$AB$37="Mayor"),CONCATENATE("R3C",'Mapa de Riesgos'!$P$37),"")</f>
        <v/>
      </c>
      <c r="AE8" s="11" t="str">
        <f>IF(AND('Mapa de Riesgos'!$Z$38="Muy Alta",'Mapa de Riesgos'!$AB$38="Mayor"),CONCATENATE("R3C",'Mapa de Riesgos'!$P$38),"")</f>
        <v/>
      </c>
      <c r="AF8" s="11" t="str">
        <f>IF(AND('Mapa de Riesgos'!$Z$39="Muy Alta",'Mapa de Riesgos'!$AB$39="Mayor"),CONCATENATE("R3C",'Mapa de Riesgos'!$P$39),"")</f>
        <v/>
      </c>
      <c r="AG8" s="12" t="str">
        <f>IF(AND('Mapa de Riesgos'!$Z$40="Muy Alta",'Mapa de Riesgos'!$AB$40="Mayor"),CONCATENATE("R3C",'Mapa de Riesgos'!$P$40),"")</f>
        <v/>
      </c>
      <c r="AH8" s="13" t="str">
        <f>IF(AND('Mapa de Riesgos'!$Z$35="Muy Alta",'Mapa de Riesgos'!$AB$35="Catastrófico"),CONCATENATE("R3C",'Mapa de Riesgos'!$P$35),"")</f>
        <v/>
      </c>
      <c r="AI8" s="14" t="str">
        <f>IF(AND('Mapa de Riesgos'!$Z$36="Muy Alta",'Mapa de Riesgos'!$AB$36="Catastrófico"),CONCATENATE("R3C",'Mapa de Riesgos'!$P$36),"")</f>
        <v/>
      </c>
      <c r="AJ8" s="14" t="str">
        <f>IF(AND('Mapa de Riesgos'!$Z$37="Muy Alta",'Mapa de Riesgos'!$AB$37="Catastrófico"),CONCATENATE("R3C",'Mapa de Riesgos'!$P$37),"")</f>
        <v/>
      </c>
      <c r="AK8" s="14" t="str">
        <f>IF(AND('Mapa de Riesgos'!$Z$38="Muy Alta",'Mapa de Riesgos'!$AB$38="Catastrófico"),CONCATENATE("R3C",'Mapa de Riesgos'!$P$38),"")</f>
        <v/>
      </c>
      <c r="AL8" s="14" t="str">
        <f>IF(AND('Mapa de Riesgos'!$Z$39="Muy Alta",'Mapa de Riesgos'!$AB$39="Catastrófico"),CONCATENATE("R3C",'Mapa de Riesgos'!$P$39),"")</f>
        <v/>
      </c>
      <c r="AM8" s="15" t="str">
        <f>IF(AND('Mapa de Riesgos'!$Z$40="Muy Alta",'Mapa de Riesgos'!$AB$40="Catastrófico"),CONCATENATE("R3C",'Mapa de Riesgos'!$P$40),"")</f>
        <v/>
      </c>
      <c r="AN8" s="41"/>
      <c r="AO8" s="445"/>
      <c r="AP8" s="446"/>
      <c r="AQ8" s="446"/>
      <c r="AR8" s="446"/>
      <c r="AS8" s="446"/>
      <c r="AT8" s="447"/>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row>
    <row r="9" spans="1:91" ht="15" customHeight="1" x14ac:dyDescent="0.25">
      <c r="A9" s="41"/>
      <c r="B9" s="340"/>
      <c r="C9" s="340"/>
      <c r="D9" s="341"/>
      <c r="E9" s="439"/>
      <c r="F9" s="438"/>
      <c r="G9" s="438"/>
      <c r="H9" s="438"/>
      <c r="I9" s="454"/>
      <c r="J9" s="10" t="str">
        <f>IF(AND('Mapa de Riesgos'!$Z$47="Muy Alta",'Mapa de Riesgos'!$AB$47="Leve"),CONCATENATE("R4C",'Mapa de Riesgos'!$P$47),"")</f>
        <v/>
      </c>
      <c r="K9" s="11" t="str">
        <f>IF(AND('Mapa de Riesgos'!$Z$48="Muy Alta",'Mapa de Riesgos'!$AB$48="Leve"),CONCATENATE("R4C",'Mapa de Riesgos'!$P$48),"")</f>
        <v/>
      </c>
      <c r="L9" s="11" t="str">
        <f>IF(AND('Mapa de Riesgos'!$Z$49="Muy Alta",'Mapa de Riesgos'!$AB$49="Leve"),CONCATENATE("R4C",'Mapa de Riesgos'!$P$49),"")</f>
        <v/>
      </c>
      <c r="M9" s="11" t="str">
        <f>IF(AND('Mapa de Riesgos'!$Z$50="Muy Alta",'Mapa de Riesgos'!$AB$50="Leve"),CONCATENATE("R4C",'Mapa de Riesgos'!$P$50),"")</f>
        <v/>
      </c>
      <c r="N9" s="11" t="str">
        <f>IF(AND('Mapa de Riesgos'!$Z$51="Muy Alta",'Mapa de Riesgos'!$AB$51="Leve"),CONCATENATE("R4C",'Mapa de Riesgos'!$P$51),"")</f>
        <v/>
      </c>
      <c r="O9" s="12" t="str">
        <f>IF(AND('Mapa de Riesgos'!$Z$52="Muy Alta",'Mapa de Riesgos'!$AB$52="Leve"),CONCATENATE("R4C",'Mapa de Riesgos'!$P$52),"")</f>
        <v/>
      </c>
      <c r="P9" s="10" t="str">
        <f>IF(AND('Mapa de Riesgos'!$Z$47="Muy Alta",'Mapa de Riesgos'!$AB$47="Menor"),CONCATENATE("R4C",'Mapa de Riesgos'!$P$47),"")</f>
        <v/>
      </c>
      <c r="Q9" s="11" t="str">
        <f>IF(AND('Mapa de Riesgos'!$Z$48="Muy Alta",'Mapa de Riesgos'!$AB$48="Menor"),CONCATENATE("R4C",'Mapa de Riesgos'!$P$48),"")</f>
        <v/>
      </c>
      <c r="R9" s="11" t="str">
        <f>IF(AND('Mapa de Riesgos'!$Z$49="Muy Alta",'Mapa de Riesgos'!$AB$49="Menor"),CONCATENATE("R4C",'Mapa de Riesgos'!$P$49),"")</f>
        <v/>
      </c>
      <c r="S9" s="11" t="str">
        <f>IF(AND('Mapa de Riesgos'!$Z$50="Muy Alta",'Mapa de Riesgos'!$AB$50="Menor"),CONCATENATE("R4C",'Mapa de Riesgos'!$P$50),"")</f>
        <v/>
      </c>
      <c r="T9" s="11" t="str">
        <f>IF(AND('Mapa de Riesgos'!$Z$51="Muy Alta",'Mapa de Riesgos'!$AB$51="Menor"),CONCATENATE("R4C",'Mapa de Riesgos'!$P$51),"")</f>
        <v/>
      </c>
      <c r="U9" s="12" t="str">
        <f>IF(AND('Mapa de Riesgos'!$Z$52="Muy Alta",'Mapa de Riesgos'!$AB$52="Menor"),CONCATENATE("R4C",'Mapa de Riesgos'!$P$52),"")</f>
        <v/>
      </c>
      <c r="V9" s="10" t="str">
        <f>IF(AND('Mapa de Riesgos'!$Z$47="Muy Alta",'Mapa de Riesgos'!$AB$47="Moderado"),CONCATENATE("R4C",'Mapa de Riesgos'!$P$47),"")</f>
        <v/>
      </c>
      <c r="W9" s="11" t="str">
        <f>IF(AND('Mapa de Riesgos'!$Z$48="Muy Alta",'Mapa de Riesgos'!$AB$48="Moderado"),CONCATENATE("R4C",'Mapa de Riesgos'!$P$48),"")</f>
        <v/>
      </c>
      <c r="X9" s="11" t="str">
        <f>IF(AND('Mapa de Riesgos'!$Z$49="Muy Alta",'Mapa de Riesgos'!$AB$49="Moderado"),CONCATENATE("R4C",'Mapa de Riesgos'!$P$49),"")</f>
        <v/>
      </c>
      <c r="Y9" s="11" t="str">
        <f>IF(AND('Mapa de Riesgos'!$Z$50="Muy Alta",'Mapa de Riesgos'!$AB$50="Moderado"),CONCATENATE("R4C",'Mapa de Riesgos'!$P$50),"")</f>
        <v/>
      </c>
      <c r="Z9" s="11" t="str">
        <f>IF(AND('Mapa de Riesgos'!$Z$51="Muy Alta",'Mapa de Riesgos'!$AB$51="Moderado"),CONCATENATE("R4C",'Mapa de Riesgos'!$P$51),"")</f>
        <v/>
      </c>
      <c r="AA9" s="12" t="str">
        <f>IF(AND('Mapa de Riesgos'!$Z$52="Muy Alta",'Mapa de Riesgos'!$AB$52="Moderado"),CONCATENATE("R4C",'Mapa de Riesgos'!$P$52),"")</f>
        <v/>
      </c>
      <c r="AB9" s="10" t="str">
        <f>IF(AND('Mapa de Riesgos'!$Z$47="Muy Alta",'Mapa de Riesgos'!$AB$47="Mayor"),CONCATENATE("R4C",'Mapa de Riesgos'!$P$47),"")</f>
        <v/>
      </c>
      <c r="AC9" s="11" t="str">
        <f>IF(AND('Mapa de Riesgos'!$Z$48="Muy Alta",'Mapa de Riesgos'!$AB$48="Mayor"),CONCATENATE("R4C",'Mapa de Riesgos'!$P$48),"")</f>
        <v/>
      </c>
      <c r="AD9" s="11" t="str">
        <f>IF(AND('Mapa de Riesgos'!$Z$49="Muy Alta",'Mapa de Riesgos'!$AB$49="Mayor"),CONCATENATE("R4C",'Mapa de Riesgos'!$P$49),"")</f>
        <v/>
      </c>
      <c r="AE9" s="11" t="str">
        <f>IF(AND('Mapa de Riesgos'!$Z$50="Muy Alta",'Mapa de Riesgos'!$AB$50="Mayor"),CONCATENATE("R4C",'Mapa de Riesgos'!$P$50),"")</f>
        <v/>
      </c>
      <c r="AF9" s="11" t="str">
        <f>IF(AND('Mapa de Riesgos'!$Z$51="Muy Alta",'Mapa de Riesgos'!$AB$51="Mayor"),CONCATENATE("R4C",'Mapa de Riesgos'!$P$51),"")</f>
        <v/>
      </c>
      <c r="AG9" s="12" t="str">
        <f>IF(AND('Mapa de Riesgos'!$Z$52="Muy Alta",'Mapa de Riesgos'!$AB$52="Mayor"),CONCATENATE("R4C",'Mapa de Riesgos'!$P$52),"")</f>
        <v/>
      </c>
      <c r="AH9" s="13" t="str">
        <f>IF(AND('Mapa de Riesgos'!$Z$47="Muy Alta",'Mapa de Riesgos'!$AB$47="Catastrófico"),CONCATENATE("R4C",'Mapa de Riesgos'!$P$47),"")</f>
        <v/>
      </c>
      <c r="AI9" s="14" t="str">
        <f>IF(AND('Mapa de Riesgos'!$Z$48="Muy Alta",'Mapa de Riesgos'!$AB$48="Catastrófico"),CONCATENATE("R4C",'Mapa de Riesgos'!$P$48),"")</f>
        <v/>
      </c>
      <c r="AJ9" s="14" t="str">
        <f>IF(AND('Mapa de Riesgos'!$Z$49="Muy Alta",'Mapa de Riesgos'!$AB$49="Catastrófico"),CONCATENATE("R4C",'Mapa de Riesgos'!$P$49),"")</f>
        <v/>
      </c>
      <c r="AK9" s="14" t="str">
        <f>IF(AND('Mapa de Riesgos'!$Z$50="Muy Alta",'Mapa de Riesgos'!$AB$50="Catastrófico"),CONCATENATE("R4C",'Mapa de Riesgos'!$P$50),"")</f>
        <v/>
      </c>
      <c r="AL9" s="14" t="str">
        <f>IF(AND('Mapa de Riesgos'!$Z$51="Muy Alta",'Mapa de Riesgos'!$AB$51="Catastrófico"),CONCATENATE("R4C",'Mapa de Riesgos'!$P$51),"")</f>
        <v/>
      </c>
      <c r="AM9" s="15" t="str">
        <f>IF(AND('Mapa de Riesgos'!$Z$52="Muy Alta",'Mapa de Riesgos'!$AB$52="Catastrófico"),CONCATENATE("R4C",'Mapa de Riesgos'!$P$52),"")</f>
        <v/>
      </c>
      <c r="AN9" s="41"/>
      <c r="AO9" s="445"/>
      <c r="AP9" s="446"/>
      <c r="AQ9" s="446"/>
      <c r="AR9" s="446"/>
      <c r="AS9" s="446"/>
      <c r="AT9" s="447"/>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row>
    <row r="10" spans="1:91" ht="15" customHeight="1" x14ac:dyDescent="0.25">
      <c r="A10" s="41"/>
      <c r="B10" s="340"/>
      <c r="C10" s="340"/>
      <c r="D10" s="341"/>
      <c r="E10" s="439"/>
      <c r="F10" s="438"/>
      <c r="G10" s="438"/>
      <c r="H10" s="438"/>
      <c r="I10" s="454"/>
      <c r="J10" s="10" t="e">
        <f>IF(AND('Mapa de Riesgos'!#REF!="Muy Alta",'Mapa de Riesgos'!#REF!="Leve"),CONCATENATE("R5C",'Mapa de Riesgos'!#REF!),"")</f>
        <v>#REF!</v>
      </c>
      <c r="K10" s="11" t="e">
        <f>IF(AND('Mapa de Riesgos'!#REF!="Muy Alta",'Mapa de Riesgos'!#REF!="Leve"),CONCATENATE("R5C",'Mapa de Riesgos'!#REF!),"")</f>
        <v>#REF!</v>
      </c>
      <c r="L10" s="11" t="e">
        <f>IF(AND('Mapa de Riesgos'!#REF!="Muy Alta",'Mapa de Riesgos'!#REF!="Leve"),CONCATENATE("R5C",'Mapa de Riesgos'!#REF!),"")</f>
        <v>#REF!</v>
      </c>
      <c r="M10" s="11" t="e">
        <f>IF(AND('Mapa de Riesgos'!#REF!="Muy Alta",'Mapa de Riesgos'!#REF!="Leve"),CONCATENATE("R5C",'Mapa de Riesgos'!#REF!),"")</f>
        <v>#REF!</v>
      </c>
      <c r="N10" s="11" t="e">
        <f>IF(AND('Mapa de Riesgos'!#REF!="Muy Alta",'Mapa de Riesgos'!#REF!="Leve"),CONCATENATE("R5C",'Mapa de Riesgos'!#REF!),"")</f>
        <v>#REF!</v>
      </c>
      <c r="O10" s="12" t="e">
        <f>IF(AND('Mapa de Riesgos'!#REF!="Muy Alta",'Mapa de Riesgos'!#REF!="Leve"),CONCATENATE("R5C",'Mapa de Riesgos'!#REF!),"")</f>
        <v>#REF!</v>
      </c>
      <c r="P10" s="10" t="e">
        <f>IF(AND('Mapa de Riesgos'!#REF!="Muy Alta",'Mapa de Riesgos'!#REF!="Menor"),CONCATENATE("R5C",'Mapa de Riesgos'!#REF!),"")</f>
        <v>#REF!</v>
      </c>
      <c r="Q10" s="11" t="e">
        <f>IF(AND('Mapa de Riesgos'!#REF!="Muy Alta",'Mapa de Riesgos'!#REF!="Menor"),CONCATENATE("R5C",'Mapa de Riesgos'!#REF!),"")</f>
        <v>#REF!</v>
      </c>
      <c r="R10" s="11" t="e">
        <f>IF(AND('Mapa de Riesgos'!#REF!="Muy Alta",'Mapa de Riesgos'!#REF!="Menor"),CONCATENATE("R5C",'Mapa de Riesgos'!#REF!),"")</f>
        <v>#REF!</v>
      </c>
      <c r="S10" s="11" t="e">
        <f>IF(AND('Mapa de Riesgos'!#REF!="Muy Alta",'Mapa de Riesgos'!#REF!="Menor"),CONCATENATE("R5C",'Mapa de Riesgos'!#REF!),"")</f>
        <v>#REF!</v>
      </c>
      <c r="T10" s="11" t="e">
        <f>IF(AND('Mapa de Riesgos'!#REF!="Muy Alta",'Mapa de Riesgos'!#REF!="Menor"),CONCATENATE("R5C",'Mapa de Riesgos'!#REF!),"")</f>
        <v>#REF!</v>
      </c>
      <c r="U10" s="12" t="e">
        <f>IF(AND('Mapa de Riesgos'!#REF!="Muy Alta",'Mapa de Riesgos'!#REF!="Menor"),CONCATENATE("R5C",'Mapa de Riesgos'!#REF!),"")</f>
        <v>#REF!</v>
      </c>
      <c r="V10" s="10" t="e">
        <f>IF(AND('Mapa de Riesgos'!#REF!="Muy Alta",'Mapa de Riesgos'!#REF!="Moderado"),CONCATENATE("R5C",'Mapa de Riesgos'!#REF!),"")</f>
        <v>#REF!</v>
      </c>
      <c r="W10" s="11" t="e">
        <f>IF(AND('Mapa de Riesgos'!#REF!="Muy Alta",'Mapa de Riesgos'!#REF!="Moderado"),CONCATENATE("R5C",'Mapa de Riesgos'!#REF!),"")</f>
        <v>#REF!</v>
      </c>
      <c r="X10" s="11" t="e">
        <f>IF(AND('Mapa de Riesgos'!#REF!="Muy Alta",'Mapa de Riesgos'!#REF!="Moderado"),CONCATENATE("R5C",'Mapa de Riesgos'!#REF!),"")</f>
        <v>#REF!</v>
      </c>
      <c r="Y10" s="11" t="e">
        <f>IF(AND('Mapa de Riesgos'!#REF!="Muy Alta",'Mapa de Riesgos'!#REF!="Moderado"),CONCATENATE("R5C",'Mapa de Riesgos'!#REF!),"")</f>
        <v>#REF!</v>
      </c>
      <c r="Z10" s="11" t="e">
        <f>IF(AND('Mapa de Riesgos'!#REF!="Muy Alta",'Mapa de Riesgos'!#REF!="Moderado"),CONCATENATE("R5C",'Mapa de Riesgos'!#REF!),"")</f>
        <v>#REF!</v>
      </c>
      <c r="AA10" s="12" t="e">
        <f>IF(AND('Mapa de Riesgos'!#REF!="Muy Alta",'Mapa de Riesgos'!#REF!="Moderado"),CONCATENATE("R5C",'Mapa de Riesgos'!#REF!),"")</f>
        <v>#REF!</v>
      </c>
      <c r="AB10" s="10" t="e">
        <f>IF(AND('Mapa de Riesgos'!#REF!="Muy Alta",'Mapa de Riesgos'!#REF!="Mayor"),CONCATENATE("R5C",'Mapa de Riesgos'!#REF!),"")</f>
        <v>#REF!</v>
      </c>
      <c r="AC10" s="11" t="e">
        <f>IF(AND('Mapa de Riesgos'!#REF!="Muy Alta",'Mapa de Riesgos'!#REF!="Mayor"),CONCATENATE("R5C",'Mapa de Riesgos'!#REF!),"")</f>
        <v>#REF!</v>
      </c>
      <c r="AD10" s="11" t="e">
        <f>IF(AND('Mapa de Riesgos'!#REF!="Muy Alta",'Mapa de Riesgos'!#REF!="Mayor"),CONCATENATE("R5C",'Mapa de Riesgos'!#REF!),"")</f>
        <v>#REF!</v>
      </c>
      <c r="AE10" s="11" t="e">
        <f>IF(AND('Mapa de Riesgos'!#REF!="Muy Alta",'Mapa de Riesgos'!#REF!="Mayor"),CONCATENATE("R5C",'Mapa de Riesgos'!#REF!),"")</f>
        <v>#REF!</v>
      </c>
      <c r="AF10" s="11" t="e">
        <f>IF(AND('Mapa de Riesgos'!#REF!="Muy Alta",'Mapa de Riesgos'!#REF!="Mayor"),CONCATENATE("R5C",'Mapa de Riesgos'!#REF!),"")</f>
        <v>#REF!</v>
      </c>
      <c r="AG10" s="12" t="e">
        <f>IF(AND('Mapa de Riesgos'!#REF!="Muy Alta",'Mapa de Riesgos'!#REF!="Mayor"),CONCATENATE("R5C",'Mapa de Riesgos'!#REF!),"")</f>
        <v>#REF!</v>
      </c>
      <c r="AH10" s="13" t="e">
        <f>IF(AND('Mapa de Riesgos'!#REF!="Muy Alta",'Mapa de Riesgos'!#REF!="Catastrófico"),CONCATENATE("R5C",'Mapa de Riesgos'!#REF!),"")</f>
        <v>#REF!</v>
      </c>
      <c r="AI10" s="14" t="e">
        <f>IF(AND('Mapa de Riesgos'!#REF!="Muy Alta",'Mapa de Riesgos'!#REF!="Catastrófico"),CONCATENATE("R5C",'Mapa de Riesgos'!#REF!),"")</f>
        <v>#REF!</v>
      </c>
      <c r="AJ10" s="14" t="e">
        <f>IF(AND('Mapa de Riesgos'!#REF!="Muy Alta",'Mapa de Riesgos'!#REF!="Catastrófico"),CONCATENATE("R5C",'Mapa de Riesgos'!#REF!),"")</f>
        <v>#REF!</v>
      </c>
      <c r="AK10" s="14" t="e">
        <f>IF(AND('Mapa de Riesgos'!#REF!="Muy Alta",'Mapa de Riesgos'!#REF!="Catastrófico"),CONCATENATE("R5C",'Mapa de Riesgos'!#REF!),"")</f>
        <v>#REF!</v>
      </c>
      <c r="AL10" s="14" t="e">
        <f>IF(AND('Mapa de Riesgos'!#REF!="Muy Alta",'Mapa de Riesgos'!#REF!="Catastrófico"),CONCATENATE("R5C",'Mapa de Riesgos'!#REF!),"")</f>
        <v>#REF!</v>
      </c>
      <c r="AM10" s="15" t="e">
        <f>IF(AND('Mapa de Riesgos'!#REF!="Muy Alta",'Mapa de Riesgos'!#REF!="Catastrófico"),CONCATENATE("R5C",'Mapa de Riesgos'!#REF!),"")</f>
        <v>#REF!</v>
      </c>
      <c r="AN10" s="41"/>
      <c r="AO10" s="445"/>
      <c r="AP10" s="446"/>
      <c r="AQ10" s="446"/>
      <c r="AR10" s="446"/>
      <c r="AS10" s="446"/>
      <c r="AT10" s="447"/>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row>
    <row r="11" spans="1:91" ht="15" customHeight="1" x14ac:dyDescent="0.25">
      <c r="A11" s="41"/>
      <c r="B11" s="340"/>
      <c r="C11" s="340"/>
      <c r="D11" s="341"/>
      <c r="E11" s="439"/>
      <c r="F11" s="438"/>
      <c r="G11" s="438"/>
      <c r="H11" s="438"/>
      <c r="I11" s="454"/>
      <c r="J11" s="10" t="str">
        <f>IF(AND('Mapa de Riesgos'!$Z$53="Muy Alta",'Mapa de Riesgos'!$AB$53="Leve"),CONCATENATE("R6C",'Mapa de Riesgos'!$P$53),"")</f>
        <v/>
      </c>
      <c r="K11" s="11" t="str">
        <f>IF(AND('Mapa de Riesgos'!$Z$54="Muy Alta",'Mapa de Riesgos'!$AB$54="Leve"),CONCATENATE("R6C",'Mapa de Riesgos'!$P$54),"")</f>
        <v/>
      </c>
      <c r="L11" s="11" t="str">
        <f>IF(AND('Mapa de Riesgos'!$Z$55="Muy Alta",'Mapa de Riesgos'!$AB$55="Leve"),CONCATENATE("R6C",'Mapa de Riesgos'!$P$55),"")</f>
        <v/>
      </c>
      <c r="M11" s="11" t="str">
        <f>IF(AND('Mapa de Riesgos'!$Z$56="Muy Alta",'Mapa de Riesgos'!$AB$56="Leve"),CONCATENATE("R6C",'Mapa de Riesgos'!$P$56),"")</f>
        <v/>
      </c>
      <c r="N11" s="11" t="str">
        <f>IF(AND('Mapa de Riesgos'!$Z$57="Muy Alta",'Mapa de Riesgos'!$AB$57="Leve"),CONCATENATE("R6C",'Mapa de Riesgos'!$P$57),"")</f>
        <v/>
      </c>
      <c r="O11" s="12" t="str">
        <f>IF(AND('Mapa de Riesgos'!$Z$58="Muy Alta",'Mapa de Riesgos'!$AB$58="Leve"),CONCATENATE("R6C",'Mapa de Riesgos'!$P$58),"")</f>
        <v/>
      </c>
      <c r="P11" s="10" t="str">
        <f>IF(AND('Mapa de Riesgos'!$Z$53="Muy Alta",'Mapa de Riesgos'!$AB$53="Menor"),CONCATENATE("R6C",'Mapa de Riesgos'!$P$53),"")</f>
        <v/>
      </c>
      <c r="Q11" s="11" t="str">
        <f>IF(AND('Mapa de Riesgos'!$Z$54="Muy Alta",'Mapa de Riesgos'!$AB$54="Menor"),CONCATENATE("R6C",'Mapa de Riesgos'!$P$54),"")</f>
        <v/>
      </c>
      <c r="R11" s="11" t="str">
        <f>IF(AND('Mapa de Riesgos'!$Z$55="Muy Alta",'Mapa de Riesgos'!$AB$55="Menor"),CONCATENATE("R6C",'Mapa de Riesgos'!$P$55),"")</f>
        <v/>
      </c>
      <c r="S11" s="11" t="str">
        <f>IF(AND('Mapa de Riesgos'!$Z$56="Muy Alta",'Mapa de Riesgos'!$AB$56="Menor"),CONCATENATE("R6C",'Mapa de Riesgos'!$P$56),"")</f>
        <v/>
      </c>
      <c r="T11" s="11" t="str">
        <f>IF(AND('Mapa de Riesgos'!$Z$57="Muy Alta",'Mapa de Riesgos'!$AB$57="Menor"),CONCATENATE("R6C",'Mapa de Riesgos'!$P$57),"")</f>
        <v/>
      </c>
      <c r="U11" s="12" t="str">
        <f>IF(AND('Mapa de Riesgos'!$Z$58="Muy Alta",'Mapa de Riesgos'!$AB$58="Menor"),CONCATENATE("R6C",'Mapa de Riesgos'!$P$58),"")</f>
        <v/>
      </c>
      <c r="V11" s="10" t="str">
        <f>IF(AND('Mapa de Riesgos'!$Z$53="Muy Alta",'Mapa de Riesgos'!$AB$53="Moderado"),CONCATENATE("R6C",'Mapa de Riesgos'!$P$53),"")</f>
        <v/>
      </c>
      <c r="W11" s="11" t="str">
        <f>IF(AND('Mapa de Riesgos'!$Z$54="Muy Alta",'Mapa de Riesgos'!$AB$54="Moderado"),CONCATENATE("R6C",'Mapa de Riesgos'!$P$54),"")</f>
        <v/>
      </c>
      <c r="X11" s="11" t="str">
        <f>IF(AND('Mapa de Riesgos'!$Z$55="Muy Alta",'Mapa de Riesgos'!$AB$55="Moderado"),CONCATENATE("R6C",'Mapa de Riesgos'!$P$55),"")</f>
        <v/>
      </c>
      <c r="Y11" s="11" t="str">
        <f>IF(AND('Mapa de Riesgos'!$Z$56="Muy Alta",'Mapa de Riesgos'!$AB$56="Moderado"),CONCATENATE("R6C",'Mapa de Riesgos'!$P$56),"")</f>
        <v/>
      </c>
      <c r="Z11" s="11" t="str">
        <f>IF(AND('Mapa de Riesgos'!$Z$57="Muy Alta",'Mapa de Riesgos'!$AB$57="Moderado"),CONCATENATE("R6C",'Mapa de Riesgos'!$P$57),"")</f>
        <v/>
      </c>
      <c r="AA11" s="12" t="str">
        <f>IF(AND('Mapa de Riesgos'!$Z$58="Muy Alta",'Mapa de Riesgos'!$AB$58="Moderado"),CONCATENATE("R6C",'Mapa de Riesgos'!$P$58),"")</f>
        <v/>
      </c>
      <c r="AB11" s="10" t="str">
        <f>IF(AND('Mapa de Riesgos'!$Z$53="Muy Alta",'Mapa de Riesgos'!$AB$53="Mayor"),CONCATENATE("R6C",'Mapa de Riesgos'!$P$53),"")</f>
        <v/>
      </c>
      <c r="AC11" s="11" t="str">
        <f>IF(AND('Mapa de Riesgos'!$Z$54="Muy Alta",'Mapa de Riesgos'!$AB$54="Mayor"),CONCATENATE("R6C",'Mapa de Riesgos'!$P$54),"")</f>
        <v/>
      </c>
      <c r="AD11" s="11" t="str">
        <f>IF(AND('Mapa de Riesgos'!$Z$55="Muy Alta",'Mapa de Riesgos'!$AB$55="Mayor"),CONCATENATE("R6C",'Mapa de Riesgos'!$P$55),"")</f>
        <v/>
      </c>
      <c r="AE11" s="11" t="str">
        <f>IF(AND('Mapa de Riesgos'!$Z$56="Muy Alta",'Mapa de Riesgos'!$AB$56="Mayor"),CONCATENATE("R6C",'Mapa de Riesgos'!$P$56),"")</f>
        <v/>
      </c>
      <c r="AF11" s="11" t="str">
        <f>IF(AND('Mapa de Riesgos'!$Z$57="Muy Alta",'Mapa de Riesgos'!$AB$57="Mayor"),CONCATENATE("R6C",'Mapa de Riesgos'!$P$57),"")</f>
        <v/>
      </c>
      <c r="AG11" s="12" t="str">
        <f>IF(AND('Mapa de Riesgos'!$Z$58="Muy Alta",'Mapa de Riesgos'!$AB$58="Mayor"),CONCATENATE("R6C",'Mapa de Riesgos'!$P$58),"")</f>
        <v/>
      </c>
      <c r="AH11" s="13" t="str">
        <f>IF(AND('Mapa de Riesgos'!$Z$53="Muy Alta",'Mapa de Riesgos'!$AB$53="Catastrófico"),CONCATENATE("R6C",'Mapa de Riesgos'!$P$53),"")</f>
        <v/>
      </c>
      <c r="AI11" s="14" t="str">
        <f>IF(AND('Mapa de Riesgos'!$Z$54="Muy Alta",'Mapa de Riesgos'!$AB$54="Catastrófico"),CONCATENATE("R6C",'Mapa de Riesgos'!$P$54),"")</f>
        <v/>
      </c>
      <c r="AJ11" s="14" t="str">
        <f>IF(AND('Mapa de Riesgos'!$Z$55="Muy Alta",'Mapa de Riesgos'!$AB$55="Catastrófico"),CONCATENATE("R6C",'Mapa de Riesgos'!$P$55),"")</f>
        <v/>
      </c>
      <c r="AK11" s="14" t="str">
        <f>IF(AND('Mapa de Riesgos'!$Z$56="Muy Alta",'Mapa de Riesgos'!$AB$56="Catastrófico"),CONCATENATE("R6C",'Mapa de Riesgos'!$P$56),"")</f>
        <v/>
      </c>
      <c r="AL11" s="14" t="str">
        <f>IF(AND('Mapa de Riesgos'!$Z$57="Muy Alta",'Mapa de Riesgos'!$AB$57="Catastrófico"),CONCATENATE("R6C",'Mapa de Riesgos'!$P$57),"")</f>
        <v/>
      </c>
      <c r="AM11" s="15" t="str">
        <f>IF(AND('Mapa de Riesgos'!$Z$58="Muy Alta",'Mapa de Riesgos'!$AB$58="Catastrófico"),CONCATENATE("R6C",'Mapa de Riesgos'!$P$58),"")</f>
        <v/>
      </c>
      <c r="AN11" s="41"/>
      <c r="AO11" s="445"/>
      <c r="AP11" s="446"/>
      <c r="AQ11" s="446"/>
      <c r="AR11" s="446"/>
      <c r="AS11" s="446"/>
      <c r="AT11" s="447"/>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row>
    <row r="12" spans="1:91" ht="15" customHeight="1" x14ac:dyDescent="0.25">
      <c r="A12" s="41"/>
      <c r="B12" s="340"/>
      <c r="C12" s="340"/>
      <c r="D12" s="341"/>
      <c r="E12" s="439"/>
      <c r="F12" s="438"/>
      <c r="G12" s="438"/>
      <c r="H12" s="438"/>
      <c r="I12" s="454"/>
      <c r="J12" s="10" t="str">
        <f>IF(AND('Mapa de Riesgos'!$Z$23="Muy Alta",'Mapa de Riesgos'!$AB$23="Leve"),CONCATENATE("R7C",'Mapa de Riesgos'!$P$23),"")</f>
        <v/>
      </c>
      <c r="K12" s="11" t="str">
        <f>IF(AND('Mapa de Riesgos'!$Z$24="Muy Alta",'Mapa de Riesgos'!$AB$24="Leve"),CONCATENATE("R7C",'Mapa de Riesgos'!$P$24),"")</f>
        <v/>
      </c>
      <c r="L12" s="11" t="str">
        <f>IF(AND('Mapa de Riesgos'!$Z$25="Muy Alta",'Mapa de Riesgos'!$AB$25="Leve"),CONCATENATE("R7C",'Mapa de Riesgos'!$P$25),"")</f>
        <v/>
      </c>
      <c r="M12" s="11" t="str">
        <f>IF(AND('Mapa de Riesgos'!$Z$26="Muy Alta",'Mapa de Riesgos'!$AB$26="Leve"),CONCATENATE("R7C",'Mapa de Riesgos'!$P$26),"")</f>
        <v/>
      </c>
      <c r="N12" s="11" t="str">
        <f>IF(AND('Mapa de Riesgos'!$Z$27="Muy Alta",'Mapa de Riesgos'!$AB$27="Leve"),CONCATENATE("R7C",'Mapa de Riesgos'!$P$27),"")</f>
        <v/>
      </c>
      <c r="O12" s="12" t="str">
        <f>IF(AND('Mapa de Riesgos'!$Z$28="Muy Alta",'Mapa de Riesgos'!$AB$28="Leve"),CONCATENATE("R7C",'Mapa de Riesgos'!$P$28),"")</f>
        <v/>
      </c>
      <c r="P12" s="10" t="str">
        <f>IF(AND('Mapa de Riesgos'!$Z$23="Muy Alta",'Mapa de Riesgos'!$AB$23="Menor"),CONCATENATE("R7C",'Mapa de Riesgos'!$P$23),"")</f>
        <v/>
      </c>
      <c r="Q12" s="11" t="str">
        <f>IF(AND('Mapa de Riesgos'!$Z$24="Muy Alta",'Mapa de Riesgos'!$AB$24="Menor"),CONCATENATE("R7C",'Mapa de Riesgos'!$P$24),"")</f>
        <v/>
      </c>
      <c r="R12" s="11" t="str">
        <f>IF(AND('Mapa de Riesgos'!$Z$25="Muy Alta",'Mapa de Riesgos'!$AB$25="Menor"),CONCATENATE("R7C",'Mapa de Riesgos'!$P$25),"")</f>
        <v/>
      </c>
      <c r="S12" s="11" t="str">
        <f>IF(AND('Mapa de Riesgos'!$Z$26="Muy Alta",'Mapa de Riesgos'!$AB$26="Menor"),CONCATENATE("R7C",'Mapa de Riesgos'!$P$26),"")</f>
        <v/>
      </c>
      <c r="T12" s="11" t="str">
        <f>IF(AND('Mapa de Riesgos'!$Z$27="Muy Alta",'Mapa de Riesgos'!$AB$27="Menor"),CONCATENATE("R7C",'Mapa de Riesgos'!$P$27),"")</f>
        <v/>
      </c>
      <c r="U12" s="12" t="str">
        <f>IF(AND('Mapa de Riesgos'!$Z$28="Muy Alta",'Mapa de Riesgos'!$AB$28="Menor"),CONCATENATE("R7C",'Mapa de Riesgos'!$P$28),"")</f>
        <v/>
      </c>
      <c r="V12" s="10" t="str">
        <f>IF(AND('Mapa de Riesgos'!$Z$23="Muy Alta",'Mapa de Riesgos'!$AB$23="Moderado"),CONCATENATE("R7C",'Mapa de Riesgos'!$P$23),"")</f>
        <v/>
      </c>
      <c r="W12" s="11" t="str">
        <f>IF(AND('Mapa de Riesgos'!$Z$24="Muy Alta",'Mapa de Riesgos'!$AB$24="Moderado"),CONCATENATE("R7C",'Mapa de Riesgos'!$P$24),"")</f>
        <v/>
      </c>
      <c r="X12" s="11" t="str">
        <f>IF(AND('Mapa de Riesgos'!$Z$25="Muy Alta",'Mapa de Riesgos'!$AB$25="Moderado"),CONCATENATE("R7C",'Mapa de Riesgos'!$P$25),"")</f>
        <v/>
      </c>
      <c r="Y12" s="11" t="str">
        <f>IF(AND('Mapa de Riesgos'!$Z$26="Muy Alta",'Mapa de Riesgos'!$AB$26="Moderado"),CONCATENATE("R7C",'Mapa de Riesgos'!$P$26),"")</f>
        <v/>
      </c>
      <c r="Z12" s="11" t="str">
        <f>IF(AND('Mapa de Riesgos'!$Z$27="Muy Alta",'Mapa de Riesgos'!$AB$27="Moderado"),CONCATENATE("R7C",'Mapa de Riesgos'!$P$27),"")</f>
        <v/>
      </c>
      <c r="AA12" s="12" t="str">
        <f>IF(AND('Mapa de Riesgos'!$Z$28="Muy Alta",'Mapa de Riesgos'!$AB$28="Moderado"),CONCATENATE("R7C",'Mapa de Riesgos'!$P$28),"")</f>
        <v/>
      </c>
      <c r="AB12" s="10" t="str">
        <f>IF(AND('Mapa de Riesgos'!$Z$23="Muy Alta",'Mapa de Riesgos'!$AB$23="Mayor"),CONCATENATE("R7C",'Mapa de Riesgos'!$P$23),"")</f>
        <v/>
      </c>
      <c r="AC12" s="11" t="str">
        <f>IF(AND('Mapa de Riesgos'!$Z$24="Muy Alta",'Mapa de Riesgos'!$AB$24="Mayor"),CONCATENATE("R7C",'Mapa de Riesgos'!$P$24),"")</f>
        <v/>
      </c>
      <c r="AD12" s="11" t="str">
        <f>IF(AND('Mapa de Riesgos'!$Z$25="Muy Alta",'Mapa de Riesgos'!$AB$25="Mayor"),CONCATENATE("R7C",'Mapa de Riesgos'!$P$25),"")</f>
        <v/>
      </c>
      <c r="AE12" s="11" t="str">
        <f>IF(AND('Mapa de Riesgos'!$Z$26="Muy Alta",'Mapa de Riesgos'!$AB$26="Mayor"),CONCATENATE("R7C",'Mapa de Riesgos'!$P$26),"")</f>
        <v/>
      </c>
      <c r="AF12" s="11" t="str">
        <f>IF(AND('Mapa de Riesgos'!$Z$27="Muy Alta",'Mapa de Riesgos'!$AB$27="Mayor"),CONCATENATE("R7C",'Mapa de Riesgos'!$P$27),"")</f>
        <v/>
      </c>
      <c r="AG12" s="12" t="str">
        <f>IF(AND('Mapa de Riesgos'!$Z$28="Muy Alta",'Mapa de Riesgos'!$AB$28="Mayor"),CONCATENATE("R7C",'Mapa de Riesgos'!$P$28),"")</f>
        <v/>
      </c>
      <c r="AH12" s="13" t="str">
        <f>IF(AND('Mapa de Riesgos'!$Z$23="Muy Alta",'Mapa de Riesgos'!$AB$23="Catastrófico"),CONCATENATE("R7C",'Mapa de Riesgos'!$P$23),"")</f>
        <v/>
      </c>
      <c r="AI12" s="14" t="str">
        <f>IF(AND('Mapa de Riesgos'!$Z$24="Muy Alta",'Mapa de Riesgos'!$AB$24="Catastrófico"),CONCATENATE("R7C",'Mapa de Riesgos'!$P$24),"")</f>
        <v/>
      </c>
      <c r="AJ12" s="14" t="str">
        <f>IF(AND('Mapa de Riesgos'!$Z$25="Muy Alta",'Mapa de Riesgos'!$AB$25="Catastrófico"),CONCATENATE("R7C",'Mapa de Riesgos'!$P$25),"")</f>
        <v/>
      </c>
      <c r="AK12" s="14" t="str">
        <f>IF(AND('Mapa de Riesgos'!$Z$26="Muy Alta",'Mapa de Riesgos'!$AB$26="Catastrófico"),CONCATENATE("R7C",'Mapa de Riesgos'!$P$26),"")</f>
        <v/>
      </c>
      <c r="AL12" s="14" t="str">
        <f>IF(AND('Mapa de Riesgos'!$Z$27="Muy Alta",'Mapa de Riesgos'!$AB$27="Catastrófico"),CONCATENATE("R7C",'Mapa de Riesgos'!$P$27),"")</f>
        <v/>
      </c>
      <c r="AM12" s="15" t="str">
        <f>IF(AND('Mapa de Riesgos'!$Z$28="Muy Alta",'Mapa de Riesgos'!$AB$28="Catastrófico"),CONCATENATE("R7C",'Mapa de Riesgos'!$P$28),"")</f>
        <v/>
      </c>
      <c r="AN12" s="41"/>
      <c r="AO12" s="445"/>
      <c r="AP12" s="446"/>
      <c r="AQ12" s="446"/>
      <c r="AR12" s="446"/>
      <c r="AS12" s="446"/>
      <c r="AT12" s="447"/>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row>
    <row r="13" spans="1:91" ht="15" customHeight="1" x14ac:dyDescent="0.25">
      <c r="A13" s="41"/>
      <c r="B13" s="340"/>
      <c r="C13" s="340"/>
      <c r="D13" s="341"/>
      <c r="E13" s="439"/>
      <c r="F13" s="438"/>
      <c r="G13" s="438"/>
      <c r="H13" s="438"/>
      <c r="I13" s="454"/>
      <c r="J13" s="10" t="str">
        <f>IF(AND('Mapa de Riesgos'!$Z$17="Muy Alta",'Mapa de Riesgos'!$AB$17="Leve"),CONCATENATE("R8C",'Mapa de Riesgos'!$P$17),"")</f>
        <v/>
      </c>
      <c r="K13" s="11" t="str">
        <f>IF(AND('Mapa de Riesgos'!$Z$18="Muy Alta",'Mapa de Riesgos'!$AB$18="Leve"),CONCATENATE("R8C",'Mapa de Riesgos'!$P$18),"")</f>
        <v/>
      </c>
      <c r="L13" s="11" t="str">
        <f>IF(AND('Mapa de Riesgos'!$Z$19="Muy Alta",'Mapa de Riesgos'!$AB$19="Leve"),CONCATENATE("R8C",'Mapa de Riesgos'!$P$19),"")</f>
        <v/>
      </c>
      <c r="M13" s="11" t="str">
        <f>IF(AND('Mapa de Riesgos'!$Z$20="Muy Alta",'Mapa de Riesgos'!$AB$20="Leve"),CONCATENATE("R8C",'Mapa de Riesgos'!$P$20),"")</f>
        <v/>
      </c>
      <c r="N13" s="11" t="str">
        <f>IF(AND('Mapa de Riesgos'!$Z$21="Muy Alta",'Mapa de Riesgos'!$AB$21="Leve"),CONCATENATE("R8C",'Mapa de Riesgos'!$P$21),"")</f>
        <v/>
      </c>
      <c r="O13" s="12" t="str">
        <f>IF(AND('Mapa de Riesgos'!$Z$22="Muy Alta",'Mapa de Riesgos'!$AB$22="Leve"),CONCATENATE("R8C",'Mapa de Riesgos'!$P$22),"")</f>
        <v/>
      </c>
      <c r="P13" s="10" t="str">
        <f>IF(AND('Mapa de Riesgos'!$Z$17="Muy Alta",'Mapa de Riesgos'!$AB$17="Menor"),CONCATENATE("R8C",'Mapa de Riesgos'!$P$17),"")</f>
        <v/>
      </c>
      <c r="Q13" s="11" t="str">
        <f>IF(AND('Mapa de Riesgos'!$Z$18="Muy Alta",'Mapa de Riesgos'!$AB$18="Menor"),CONCATENATE("R8C",'Mapa de Riesgos'!$P$18),"")</f>
        <v/>
      </c>
      <c r="R13" s="11" t="str">
        <f>IF(AND('Mapa de Riesgos'!$Z$19="Muy Alta",'Mapa de Riesgos'!$AB$19="Menor"),CONCATENATE("R8C",'Mapa de Riesgos'!$P$19),"")</f>
        <v/>
      </c>
      <c r="S13" s="11" t="str">
        <f>IF(AND('Mapa de Riesgos'!$Z$20="Muy Alta",'Mapa de Riesgos'!$AB$20="Menor"),CONCATENATE("R8C",'Mapa de Riesgos'!$P$20),"")</f>
        <v/>
      </c>
      <c r="T13" s="11" t="str">
        <f>IF(AND('Mapa de Riesgos'!$Z$21="Muy Alta",'Mapa de Riesgos'!$AB$21="Menor"),CONCATENATE("R8C",'Mapa de Riesgos'!$P$21),"")</f>
        <v/>
      </c>
      <c r="U13" s="12" t="str">
        <f>IF(AND('Mapa de Riesgos'!$Z$22="Muy Alta",'Mapa de Riesgos'!$AB$22="Menor"),CONCATENATE("R8C",'Mapa de Riesgos'!$P$22),"")</f>
        <v/>
      </c>
      <c r="V13" s="10" t="str">
        <f>IF(AND('Mapa de Riesgos'!$Z$17="Muy Alta",'Mapa de Riesgos'!$AB$17="Moderado"),CONCATENATE("R8C",'Mapa de Riesgos'!$P$17),"")</f>
        <v/>
      </c>
      <c r="W13" s="11" t="str">
        <f>IF(AND('Mapa de Riesgos'!$Z$18="Muy Alta",'Mapa de Riesgos'!$AB$18="Moderado"),CONCATENATE("R8C",'Mapa de Riesgos'!$P$18),"")</f>
        <v/>
      </c>
      <c r="X13" s="11" t="str">
        <f>IF(AND('Mapa de Riesgos'!$Z$19="Muy Alta",'Mapa de Riesgos'!$AB$19="Moderado"),CONCATENATE("R8C",'Mapa de Riesgos'!$P$19),"")</f>
        <v/>
      </c>
      <c r="Y13" s="11" t="str">
        <f>IF(AND('Mapa de Riesgos'!$Z$20="Muy Alta",'Mapa de Riesgos'!$AB$20="Moderado"),CONCATENATE("R8C",'Mapa de Riesgos'!$P$20),"")</f>
        <v/>
      </c>
      <c r="Z13" s="11" t="str">
        <f>IF(AND('Mapa de Riesgos'!$Z$21="Muy Alta",'Mapa de Riesgos'!$AB$21="Moderado"),CONCATENATE("R8C",'Mapa de Riesgos'!$P$21),"")</f>
        <v/>
      </c>
      <c r="AA13" s="12" t="str">
        <f>IF(AND('Mapa de Riesgos'!$Z$22="Muy Alta",'Mapa de Riesgos'!$AB$22="Moderado"),CONCATENATE("R8C",'Mapa de Riesgos'!$P$22),"")</f>
        <v/>
      </c>
      <c r="AB13" s="10" t="str">
        <f>IF(AND('Mapa de Riesgos'!$Z$17="Muy Alta",'Mapa de Riesgos'!$AB$17="Mayor"),CONCATENATE("R8C",'Mapa de Riesgos'!$P$17),"")</f>
        <v/>
      </c>
      <c r="AC13" s="11" t="str">
        <f>IF(AND('Mapa de Riesgos'!$Z$18="Muy Alta",'Mapa de Riesgos'!$AB$18="Mayor"),CONCATENATE("R8C",'Mapa de Riesgos'!$P$18),"")</f>
        <v/>
      </c>
      <c r="AD13" s="11" t="str">
        <f>IF(AND('Mapa de Riesgos'!$Z$19="Muy Alta",'Mapa de Riesgos'!$AB$19="Mayor"),CONCATENATE("R8C",'Mapa de Riesgos'!$P$19),"")</f>
        <v/>
      </c>
      <c r="AE13" s="11" t="str">
        <f>IF(AND('Mapa de Riesgos'!$Z$20="Muy Alta",'Mapa de Riesgos'!$AB$20="Mayor"),CONCATENATE("R8C",'Mapa de Riesgos'!$P$20),"")</f>
        <v/>
      </c>
      <c r="AF13" s="11" t="str">
        <f>IF(AND('Mapa de Riesgos'!$Z$21="Muy Alta",'Mapa de Riesgos'!$AB$21="Mayor"),CONCATENATE("R8C",'Mapa de Riesgos'!$P$21),"")</f>
        <v/>
      </c>
      <c r="AG13" s="12" t="str">
        <f>IF(AND('Mapa de Riesgos'!$Z$22="Muy Alta",'Mapa de Riesgos'!$AB$22="Mayor"),CONCATENATE("R8C",'Mapa de Riesgos'!$P$22),"")</f>
        <v/>
      </c>
      <c r="AH13" s="13" t="str">
        <f>IF(AND('Mapa de Riesgos'!$Z$17="Muy Alta",'Mapa de Riesgos'!$AB$17="Catastrófico"),CONCATENATE("R8C",'Mapa de Riesgos'!$P$17),"")</f>
        <v/>
      </c>
      <c r="AI13" s="14" t="str">
        <f>IF(AND('Mapa de Riesgos'!$Z$18="Muy Alta",'Mapa de Riesgos'!$AB$18="Catastrófico"),CONCATENATE("R8C",'Mapa de Riesgos'!$P$18),"")</f>
        <v/>
      </c>
      <c r="AJ13" s="14" t="str">
        <f>IF(AND('Mapa de Riesgos'!$Z$19="Muy Alta",'Mapa de Riesgos'!$AB$19="Catastrófico"),CONCATENATE("R8C",'Mapa de Riesgos'!$P$19),"")</f>
        <v/>
      </c>
      <c r="AK13" s="14" t="str">
        <f>IF(AND('Mapa de Riesgos'!$Z$20="Muy Alta",'Mapa de Riesgos'!$AB$20="Catastrófico"),CONCATENATE("R8C",'Mapa de Riesgos'!$P$20),"")</f>
        <v/>
      </c>
      <c r="AL13" s="14" t="str">
        <f>IF(AND('Mapa de Riesgos'!$Z$21="Muy Alta",'Mapa de Riesgos'!$AB$21="Catastrófico"),CONCATENATE("R8C",'Mapa de Riesgos'!$P$21),"")</f>
        <v/>
      </c>
      <c r="AM13" s="15" t="str">
        <f>IF(AND('Mapa de Riesgos'!$Z$22="Muy Alta",'Mapa de Riesgos'!$AB$22="Catastrófico"),CONCATENATE("R8C",'Mapa de Riesgos'!$P$22),"")</f>
        <v/>
      </c>
      <c r="AN13" s="41"/>
      <c r="AO13" s="445"/>
      <c r="AP13" s="446"/>
      <c r="AQ13" s="446"/>
      <c r="AR13" s="446"/>
      <c r="AS13" s="446"/>
      <c r="AT13" s="447"/>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row>
    <row r="14" spans="1:91" ht="15" customHeight="1" x14ac:dyDescent="0.25">
      <c r="A14" s="41"/>
      <c r="B14" s="340"/>
      <c r="C14" s="340"/>
      <c r="D14" s="341"/>
      <c r="E14" s="439"/>
      <c r="F14" s="438"/>
      <c r="G14" s="438"/>
      <c r="H14" s="438"/>
      <c r="I14" s="454"/>
      <c r="J14" s="10" t="str">
        <f>IF(AND('Mapa de Riesgos'!$Z$59="Muy Alta",'Mapa de Riesgos'!$AB$59="Leve"),CONCATENATE("R9C",'Mapa de Riesgos'!$P$59),"")</f>
        <v/>
      </c>
      <c r="K14" s="11" t="str">
        <f>IF(AND('Mapa de Riesgos'!$Z$60="Muy Alta",'Mapa de Riesgos'!$AB$60="Leve"),CONCATENATE("R9C",'Mapa de Riesgos'!$P$60),"")</f>
        <v/>
      </c>
      <c r="L14" s="11" t="str">
        <f>IF(AND('Mapa de Riesgos'!$Z$61="Muy Alta",'Mapa de Riesgos'!$AB$61="Leve"),CONCATENATE("R9C",'Mapa de Riesgos'!$P$61),"")</f>
        <v/>
      </c>
      <c r="M14" s="11" t="str">
        <f>IF(AND('Mapa de Riesgos'!$Z$62="Muy Alta",'Mapa de Riesgos'!$AB$62="Leve"),CONCATENATE("R9C",'Mapa de Riesgos'!$P$62),"")</f>
        <v/>
      </c>
      <c r="N14" s="11" t="str">
        <f>IF(AND('Mapa de Riesgos'!$Z$63="Muy Alta",'Mapa de Riesgos'!$AB$63="Leve"),CONCATENATE("R9C",'Mapa de Riesgos'!$P$63),"")</f>
        <v/>
      </c>
      <c r="O14" s="12" t="str">
        <f>IF(AND('Mapa de Riesgos'!$Z$64="Muy Alta",'Mapa de Riesgos'!$AB$64="Leve"),CONCATENATE("R9C",'Mapa de Riesgos'!$P$64),"")</f>
        <v/>
      </c>
      <c r="P14" s="10" t="str">
        <f>IF(AND('Mapa de Riesgos'!$Z$59="Muy Alta",'Mapa de Riesgos'!$AB$59="Menor"),CONCATENATE("R9C",'Mapa de Riesgos'!$P$59),"")</f>
        <v/>
      </c>
      <c r="Q14" s="11" t="str">
        <f>IF(AND('Mapa de Riesgos'!$Z$60="Muy Alta",'Mapa de Riesgos'!$AB$60="Menor"),CONCATENATE("R9C",'Mapa de Riesgos'!$P$60),"")</f>
        <v/>
      </c>
      <c r="R14" s="11" t="str">
        <f>IF(AND('Mapa de Riesgos'!$Z$61="Muy Alta",'Mapa de Riesgos'!$AB$61="Menor"),CONCATENATE("R9C",'Mapa de Riesgos'!$P$61),"")</f>
        <v/>
      </c>
      <c r="S14" s="11" t="str">
        <f>IF(AND('Mapa de Riesgos'!$Z$62="Muy Alta",'Mapa de Riesgos'!$AB$62="Menor"),CONCATENATE("R9C",'Mapa de Riesgos'!$P$62),"")</f>
        <v/>
      </c>
      <c r="T14" s="11" t="str">
        <f>IF(AND('Mapa de Riesgos'!$Z$63="Muy Alta",'Mapa de Riesgos'!$AB$63="Menor"),CONCATENATE("R9C",'Mapa de Riesgos'!$P$63),"")</f>
        <v/>
      </c>
      <c r="U14" s="12" t="str">
        <f>IF(AND('Mapa de Riesgos'!$Z$64="Muy Alta",'Mapa de Riesgos'!$AB$64="Menor"),CONCATENATE("R9C",'Mapa de Riesgos'!$P$64),"")</f>
        <v/>
      </c>
      <c r="V14" s="10" t="str">
        <f>IF(AND('Mapa de Riesgos'!$Z$59="Muy Alta",'Mapa de Riesgos'!$AB$59="Moderado"),CONCATENATE("R9C",'Mapa de Riesgos'!$P$59),"")</f>
        <v/>
      </c>
      <c r="W14" s="11" t="str">
        <f>IF(AND('Mapa de Riesgos'!$Z$60="Muy Alta",'Mapa de Riesgos'!$AB$60="Moderado"),CONCATENATE("R9C",'Mapa de Riesgos'!$P$60),"")</f>
        <v/>
      </c>
      <c r="X14" s="11" t="str">
        <f>IF(AND('Mapa de Riesgos'!$Z$61="Muy Alta",'Mapa de Riesgos'!$AB$61="Moderado"),CONCATENATE("R9C",'Mapa de Riesgos'!$P$61),"")</f>
        <v/>
      </c>
      <c r="Y14" s="11" t="str">
        <f>IF(AND('Mapa de Riesgos'!$Z$62="Muy Alta",'Mapa de Riesgos'!$AB$62="Moderado"),CONCATENATE("R9C",'Mapa de Riesgos'!$P$62),"")</f>
        <v/>
      </c>
      <c r="Z14" s="11" t="str">
        <f>IF(AND('Mapa de Riesgos'!$Z$63="Muy Alta",'Mapa de Riesgos'!$AB$63="Moderado"),CONCATENATE("R9C",'Mapa de Riesgos'!$P$63),"")</f>
        <v/>
      </c>
      <c r="AA14" s="12" t="str">
        <f>IF(AND('Mapa de Riesgos'!$Z$64="Muy Alta",'Mapa de Riesgos'!$AB$64="Moderado"),CONCATENATE("R9C",'Mapa de Riesgos'!$P$64),"")</f>
        <v/>
      </c>
      <c r="AB14" s="10" t="str">
        <f>IF(AND('Mapa de Riesgos'!$Z$59="Muy Alta",'Mapa de Riesgos'!$AB$59="Mayor"),CONCATENATE("R9C",'Mapa de Riesgos'!$P$59),"")</f>
        <v/>
      </c>
      <c r="AC14" s="11" t="str">
        <f>IF(AND('Mapa de Riesgos'!$Z$60="Muy Alta",'Mapa de Riesgos'!$AB$60="Mayor"),CONCATENATE("R9C",'Mapa de Riesgos'!$P$60),"")</f>
        <v/>
      </c>
      <c r="AD14" s="11" t="str">
        <f>IF(AND('Mapa de Riesgos'!$Z$61="Muy Alta",'Mapa de Riesgos'!$AB$61="Mayor"),CONCATENATE("R9C",'Mapa de Riesgos'!$P$61),"")</f>
        <v/>
      </c>
      <c r="AE14" s="11" t="str">
        <f>IF(AND('Mapa de Riesgos'!$Z$62="Muy Alta",'Mapa de Riesgos'!$AB$62="Mayor"),CONCATENATE("R9C",'Mapa de Riesgos'!$P$62),"")</f>
        <v/>
      </c>
      <c r="AF14" s="11" t="str">
        <f>IF(AND('Mapa de Riesgos'!$Z$63="Muy Alta",'Mapa de Riesgos'!$AB$63="Mayor"),CONCATENATE("R9C",'Mapa de Riesgos'!$P$63),"")</f>
        <v/>
      </c>
      <c r="AG14" s="12" t="str">
        <f>IF(AND('Mapa de Riesgos'!$Z$64="Muy Alta",'Mapa de Riesgos'!$AB$64="Mayor"),CONCATENATE("R9C",'Mapa de Riesgos'!$P$64),"")</f>
        <v/>
      </c>
      <c r="AH14" s="13" t="str">
        <f>IF(AND('Mapa de Riesgos'!$Z$59="Muy Alta",'Mapa de Riesgos'!$AB$59="Catastrófico"),CONCATENATE("R9C",'Mapa de Riesgos'!$P$59),"")</f>
        <v/>
      </c>
      <c r="AI14" s="14" t="str">
        <f>IF(AND('Mapa de Riesgos'!$Z$60="Muy Alta",'Mapa de Riesgos'!$AB$60="Catastrófico"),CONCATENATE("R9C",'Mapa de Riesgos'!$P$60),"")</f>
        <v/>
      </c>
      <c r="AJ14" s="14" t="str">
        <f>IF(AND('Mapa de Riesgos'!$Z$61="Muy Alta",'Mapa de Riesgos'!$AB$61="Catastrófico"),CONCATENATE("R9C",'Mapa de Riesgos'!$P$61),"")</f>
        <v/>
      </c>
      <c r="AK14" s="14" t="str">
        <f>IF(AND('Mapa de Riesgos'!$Z$62="Muy Alta",'Mapa de Riesgos'!$AB$62="Catastrófico"),CONCATENATE("R9C",'Mapa de Riesgos'!$P$62),"")</f>
        <v/>
      </c>
      <c r="AL14" s="14" t="str">
        <f>IF(AND('Mapa de Riesgos'!$Z$63="Muy Alta",'Mapa de Riesgos'!$AB$63="Catastrófico"),CONCATENATE("R9C",'Mapa de Riesgos'!$P$63),"")</f>
        <v/>
      </c>
      <c r="AM14" s="15" t="str">
        <f>IF(AND('Mapa de Riesgos'!$Z$64="Muy Alta",'Mapa de Riesgos'!$AB$64="Catastrófico"),CONCATENATE("R9C",'Mapa de Riesgos'!$P$64),"")</f>
        <v/>
      </c>
      <c r="AN14" s="41"/>
      <c r="AO14" s="445"/>
      <c r="AP14" s="446"/>
      <c r="AQ14" s="446"/>
      <c r="AR14" s="446"/>
      <c r="AS14" s="446"/>
      <c r="AT14" s="447"/>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row>
    <row r="15" spans="1:91" ht="15.75" customHeight="1" thickBot="1" x14ac:dyDescent="0.3">
      <c r="A15" s="41"/>
      <c r="B15" s="340"/>
      <c r="C15" s="340"/>
      <c r="D15" s="341"/>
      <c r="E15" s="440"/>
      <c r="F15" s="441"/>
      <c r="G15" s="441"/>
      <c r="H15" s="441"/>
      <c r="I15" s="455"/>
      <c r="J15" s="16" t="str">
        <f>IF(AND('Mapa de Riesgos'!$Z$65="Muy Alta",'Mapa de Riesgos'!$AB$65="Leve"),CONCATENATE("R10C",'Mapa de Riesgos'!$P$65),"")</f>
        <v/>
      </c>
      <c r="K15" s="17" t="str">
        <f>IF(AND('Mapa de Riesgos'!$Z$66="Muy Alta",'Mapa de Riesgos'!$AB$66="Leve"),CONCATENATE("R10C",'Mapa de Riesgos'!$P$66),"")</f>
        <v/>
      </c>
      <c r="L15" s="17" t="str">
        <f>IF(AND('Mapa de Riesgos'!$Z$67="Muy Alta",'Mapa de Riesgos'!$AB$67="Leve"),CONCATENATE("R10C",'Mapa de Riesgos'!$P$67),"")</f>
        <v/>
      </c>
      <c r="M15" s="17" t="str">
        <f>IF(AND('Mapa de Riesgos'!$Z$68="Muy Alta",'Mapa de Riesgos'!$AB$68="Leve"),CONCATENATE("R10C",'Mapa de Riesgos'!$P$68),"")</f>
        <v/>
      </c>
      <c r="N15" s="17" t="str">
        <f>IF(AND('Mapa de Riesgos'!$Z$69="Muy Alta",'Mapa de Riesgos'!$AB$69="Leve"),CONCATENATE("R10C",'Mapa de Riesgos'!$P$69),"")</f>
        <v/>
      </c>
      <c r="O15" s="18" t="str">
        <f>IF(AND('Mapa de Riesgos'!$Z$70="Muy Alta",'Mapa de Riesgos'!$AB$70="Leve"),CONCATENATE("R10C",'Mapa de Riesgos'!$P$70),"")</f>
        <v/>
      </c>
      <c r="P15" s="10" t="str">
        <f>IF(AND('Mapa de Riesgos'!$Z$65="Muy Alta",'Mapa de Riesgos'!$AB$65="Menor"),CONCATENATE("R10C",'Mapa de Riesgos'!$P$65),"")</f>
        <v/>
      </c>
      <c r="Q15" s="11" t="str">
        <f>IF(AND('Mapa de Riesgos'!$Z$66="Muy Alta",'Mapa de Riesgos'!$AB$66="Menor"),CONCATENATE("R10C",'Mapa de Riesgos'!$P$66),"")</f>
        <v/>
      </c>
      <c r="R15" s="11" t="str">
        <f>IF(AND('Mapa de Riesgos'!$Z$67="Muy Alta",'Mapa de Riesgos'!$AB$67="Menor"),CONCATENATE("R10C",'Mapa de Riesgos'!$P$67),"")</f>
        <v/>
      </c>
      <c r="S15" s="11" t="str">
        <f>IF(AND('Mapa de Riesgos'!$Z$68="Muy Alta",'Mapa de Riesgos'!$AB$68="Menor"),CONCATENATE("R10C",'Mapa de Riesgos'!$P$68),"")</f>
        <v/>
      </c>
      <c r="T15" s="11" t="str">
        <f>IF(AND('Mapa de Riesgos'!$Z$69="Muy Alta",'Mapa de Riesgos'!$AB$69="Menor"),CONCATENATE("R10C",'Mapa de Riesgos'!$P$69),"")</f>
        <v/>
      </c>
      <c r="U15" s="12" t="str">
        <f>IF(AND('Mapa de Riesgos'!$Z$70="Muy Alta",'Mapa de Riesgos'!$AB$70="Menor"),CONCATENATE("R10C",'Mapa de Riesgos'!$P$70),"")</f>
        <v/>
      </c>
      <c r="V15" s="16" t="str">
        <f>IF(AND('Mapa de Riesgos'!$Z$65="Muy Alta",'Mapa de Riesgos'!$AB$65="Moderado"),CONCATENATE("R10C",'Mapa de Riesgos'!$P$65),"")</f>
        <v/>
      </c>
      <c r="W15" s="17" t="str">
        <f>IF(AND('Mapa de Riesgos'!$Z$66="Muy Alta",'Mapa de Riesgos'!$AB$66="Moderado"),CONCATENATE("R10C",'Mapa de Riesgos'!$P$66),"")</f>
        <v/>
      </c>
      <c r="X15" s="17" t="str">
        <f>IF(AND('Mapa de Riesgos'!$Z$67="Muy Alta",'Mapa de Riesgos'!$AB$67="Moderado"),CONCATENATE("R10C",'Mapa de Riesgos'!$P$67),"")</f>
        <v/>
      </c>
      <c r="Y15" s="17" t="str">
        <f>IF(AND('Mapa de Riesgos'!$Z$68="Muy Alta",'Mapa de Riesgos'!$AB$68="Moderado"),CONCATENATE("R10C",'Mapa de Riesgos'!$P$68),"")</f>
        <v/>
      </c>
      <c r="Z15" s="17" t="str">
        <f>IF(AND('Mapa de Riesgos'!$Z$69="Muy Alta",'Mapa de Riesgos'!$AB$69="Moderado"),CONCATENATE("R10C",'Mapa de Riesgos'!$P$69),"")</f>
        <v/>
      </c>
      <c r="AA15" s="18" t="str">
        <f>IF(AND('Mapa de Riesgos'!$Z$70="Muy Alta",'Mapa de Riesgos'!$AB$70="Moderado"),CONCATENATE("R10C",'Mapa de Riesgos'!$P$70),"")</f>
        <v/>
      </c>
      <c r="AB15" s="10" t="str">
        <f>IF(AND('Mapa de Riesgos'!$Z$65="Muy Alta",'Mapa de Riesgos'!$AB$65="Mayor"),CONCATENATE("R10C",'Mapa de Riesgos'!$P$65),"")</f>
        <v/>
      </c>
      <c r="AC15" s="11" t="str">
        <f>IF(AND('Mapa de Riesgos'!$Z$66="Muy Alta",'Mapa de Riesgos'!$AB$66="Mayor"),CONCATENATE("R10C",'Mapa de Riesgos'!$P$66),"")</f>
        <v/>
      </c>
      <c r="AD15" s="11" t="str">
        <f>IF(AND('Mapa de Riesgos'!$Z$67="Muy Alta",'Mapa de Riesgos'!$AB$67="Mayor"),CONCATENATE("R10C",'Mapa de Riesgos'!$P$67),"")</f>
        <v/>
      </c>
      <c r="AE15" s="11" t="str">
        <f>IF(AND('Mapa de Riesgos'!$Z$68="Muy Alta",'Mapa de Riesgos'!$AB$68="Mayor"),CONCATENATE("R10C",'Mapa de Riesgos'!$P$68),"")</f>
        <v/>
      </c>
      <c r="AF15" s="11" t="str">
        <f>IF(AND('Mapa de Riesgos'!$Z$69="Muy Alta",'Mapa de Riesgos'!$AB$69="Mayor"),CONCATENATE("R10C",'Mapa de Riesgos'!$P$69),"")</f>
        <v/>
      </c>
      <c r="AG15" s="12" t="str">
        <f>IF(AND('Mapa de Riesgos'!$Z$70="Muy Alta",'Mapa de Riesgos'!$AB$70="Mayor"),CONCATENATE("R10C",'Mapa de Riesgos'!$P$70),"")</f>
        <v/>
      </c>
      <c r="AH15" s="19" t="str">
        <f>IF(AND('Mapa de Riesgos'!$Z$65="Muy Alta",'Mapa de Riesgos'!$AB$65="Catastrófico"),CONCATENATE("R10C",'Mapa de Riesgos'!$P$65),"")</f>
        <v/>
      </c>
      <c r="AI15" s="20" t="str">
        <f>IF(AND('Mapa de Riesgos'!$Z$66="Muy Alta",'Mapa de Riesgos'!$AB$66="Catastrófico"),CONCATENATE("R10C",'Mapa de Riesgos'!$P$66),"")</f>
        <v/>
      </c>
      <c r="AJ15" s="20" t="str">
        <f>IF(AND('Mapa de Riesgos'!$Z$67="Muy Alta",'Mapa de Riesgos'!$AB$67="Catastrófico"),CONCATENATE("R10C",'Mapa de Riesgos'!$P$67),"")</f>
        <v/>
      </c>
      <c r="AK15" s="20" t="str">
        <f>IF(AND('Mapa de Riesgos'!$Z$68="Muy Alta",'Mapa de Riesgos'!$AB$68="Catastrófico"),CONCATENATE("R10C",'Mapa de Riesgos'!$P$68),"")</f>
        <v/>
      </c>
      <c r="AL15" s="20" t="str">
        <f>IF(AND('Mapa de Riesgos'!$Z$69="Muy Alta",'Mapa de Riesgos'!$AB$69="Catastrófico"),CONCATENATE("R10C",'Mapa de Riesgos'!$P$69),"")</f>
        <v/>
      </c>
      <c r="AM15" s="21" t="str">
        <f>IF(AND('Mapa de Riesgos'!$Z$70="Muy Alta",'Mapa de Riesgos'!$AB$70="Catastrófico"),CONCATENATE("R10C",'Mapa de Riesgos'!$P$70),"")</f>
        <v/>
      </c>
      <c r="AN15" s="41"/>
      <c r="AO15" s="448"/>
      <c r="AP15" s="449"/>
      <c r="AQ15" s="449"/>
      <c r="AR15" s="449"/>
      <c r="AS15" s="449"/>
      <c r="AT15" s="450"/>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row>
    <row r="16" spans="1:91" ht="15" customHeight="1" x14ac:dyDescent="0.25">
      <c r="A16" s="41"/>
      <c r="B16" s="340"/>
      <c r="C16" s="340"/>
      <c r="D16" s="341"/>
      <c r="E16" s="435" t="s">
        <v>113</v>
      </c>
      <c r="F16" s="436"/>
      <c r="G16" s="436"/>
      <c r="H16" s="436"/>
      <c r="I16" s="436"/>
      <c r="J16" s="22" t="str">
        <f>IF(AND('Mapa de Riesgos'!$Z$11="Alta",'Mapa de Riesgos'!$AB$11="Leve"),CONCATENATE("R1C",'Mapa de Riesgos'!$P$11),"")</f>
        <v/>
      </c>
      <c r="K16" s="23" t="str">
        <f>IF(AND('Mapa de Riesgos'!$Z$12="Alta",'Mapa de Riesgos'!$AB$12="Leve"),CONCATENATE("R1C",'Mapa de Riesgos'!$P$12),"")</f>
        <v/>
      </c>
      <c r="L16" s="23" t="str">
        <f>IF(AND('Mapa de Riesgos'!$Z$13="Alta",'Mapa de Riesgos'!$AB$13="Leve"),CONCATENATE("R1C",'Mapa de Riesgos'!$P$13),"")</f>
        <v/>
      </c>
      <c r="M16" s="23" t="str">
        <f>IF(AND('Mapa de Riesgos'!$Z$14="Alta",'Mapa de Riesgos'!$AB$14="Leve"),CONCATENATE("R1C",'Mapa de Riesgos'!$P$14),"")</f>
        <v/>
      </c>
      <c r="N16" s="23" t="str">
        <f>IF(AND('Mapa de Riesgos'!$Z$15="Alta",'Mapa de Riesgos'!$AB$15="Leve"),CONCATENATE("R1C",'Mapa de Riesgos'!$P$15),"")</f>
        <v/>
      </c>
      <c r="O16" s="24" t="str">
        <f>IF(AND('Mapa de Riesgos'!$Z$16="Alta",'Mapa de Riesgos'!$AB$16="Leve"),CONCATENATE("R1C",'Mapa de Riesgos'!$P$16),"")</f>
        <v/>
      </c>
      <c r="P16" s="22" t="str">
        <f>IF(AND('Mapa de Riesgos'!$Z$11="Alta",'Mapa de Riesgos'!$AB$11="Menor"),CONCATENATE("R1C",'Mapa de Riesgos'!$P$11),"")</f>
        <v/>
      </c>
      <c r="Q16" s="23" t="str">
        <f>IF(AND('Mapa de Riesgos'!$Z$12="Alta",'Mapa de Riesgos'!$AB$12="Menor"),CONCATENATE("R1C",'Mapa de Riesgos'!$P$12),"")</f>
        <v/>
      </c>
      <c r="R16" s="23" t="str">
        <f>IF(AND('Mapa de Riesgos'!$Z$13="Alta",'Mapa de Riesgos'!$AB$13="Menor"),CONCATENATE("R1C",'Mapa de Riesgos'!$P$13),"")</f>
        <v/>
      </c>
      <c r="S16" s="23" t="str">
        <f>IF(AND('Mapa de Riesgos'!$Z$14="Alta",'Mapa de Riesgos'!$AB$14="Menor"),CONCATENATE("R1C",'Mapa de Riesgos'!$P$14),"")</f>
        <v/>
      </c>
      <c r="T16" s="23" t="str">
        <f>IF(AND('Mapa de Riesgos'!$Z$15="Alta",'Mapa de Riesgos'!$AB$15="Menor"),CONCATENATE("R1C",'Mapa de Riesgos'!$P$15),"")</f>
        <v/>
      </c>
      <c r="U16" s="24" t="str">
        <f>IF(AND('Mapa de Riesgos'!$Z$16="Alta",'Mapa de Riesgos'!$AB$16="Menor"),CONCATENATE("R1C",'Mapa de Riesgos'!$P$16),"")</f>
        <v/>
      </c>
      <c r="V16" s="4" t="str">
        <f>IF(AND('Mapa de Riesgos'!$Z$11="Alta",'Mapa de Riesgos'!$AB$11="Moderado"),CONCATENATE("R1C",'Mapa de Riesgos'!$P$11),"")</f>
        <v/>
      </c>
      <c r="W16" s="5" t="str">
        <f>IF(AND('Mapa de Riesgos'!$Z$12="Alta",'Mapa de Riesgos'!$AB$12="Moderado"),CONCATENATE("R1C",'Mapa de Riesgos'!$P$12),"")</f>
        <v/>
      </c>
      <c r="X16" s="5" t="str">
        <f>IF(AND('Mapa de Riesgos'!$Z$13="Alta",'Mapa de Riesgos'!$AB$13="Moderado"),CONCATENATE("R1C",'Mapa de Riesgos'!$P$13),"")</f>
        <v/>
      </c>
      <c r="Y16" s="5" t="str">
        <f>IF(AND('Mapa de Riesgos'!$Z$14="Alta",'Mapa de Riesgos'!$AB$14="Moderado"),CONCATENATE("R1C",'Mapa de Riesgos'!$P$14),"")</f>
        <v/>
      </c>
      <c r="Z16" s="5" t="str">
        <f>IF(AND('Mapa de Riesgos'!$Z$15="Alta",'Mapa de Riesgos'!$AB$15="Moderado"),CONCATENATE("R1C",'Mapa de Riesgos'!$P$15),"")</f>
        <v/>
      </c>
      <c r="AA16" s="6" t="str">
        <f>IF(AND('Mapa de Riesgos'!$Z$16="Alta",'Mapa de Riesgos'!$AB$16="Moderado"),CONCATENATE("R1C",'Mapa de Riesgos'!$P$16),"")</f>
        <v/>
      </c>
      <c r="AB16" s="4" t="str">
        <f>IF(AND('Mapa de Riesgos'!$Z$11="Alta",'Mapa de Riesgos'!$AB$11="Mayor"),CONCATENATE("R1C",'Mapa de Riesgos'!$P$11),"")</f>
        <v/>
      </c>
      <c r="AC16" s="5" t="str">
        <f>IF(AND('Mapa de Riesgos'!$Z$12="Alta",'Mapa de Riesgos'!$AB$12="Mayor"),CONCATENATE("R1C",'Mapa de Riesgos'!$P$12),"")</f>
        <v/>
      </c>
      <c r="AD16" s="5" t="str">
        <f>IF(AND('Mapa de Riesgos'!$Z$13="Alta",'Mapa de Riesgos'!$AB$13="Mayor"),CONCATENATE("R1C",'Mapa de Riesgos'!$P$13),"")</f>
        <v/>
      </c>
      <c r="AE16" s="5" t="str">
        <f>IF(AND('Mapa de Riesgos'!$Z$14="Alta",'Mapa de Riesgos'!$AB$14="Mayor"),CONCATENATE("R1C",'Mapa de Riesgos'!$P$14),"")</f>
        <v/>
      </c>
      <c r="AF16" s="5" t="str">
        <f>IF(AND('Mapa de Riesgos'!$Z$15="Alta",'Mapa de Riesgos'!$AB$15="Mayor"),CONCATENATE("R1C",'Mapa de Riesgos'!$P$15),"")</f>
        <v/>
      </c>
      <c r="AG16" s="6" t="str">
        <f>IF(AND('Mapa de Riesgos'!$Z$16="Alta",'Mapa de Riesgos'!$AB$16="Mayor"),CONCATENATE("R1C",'Mapa de Riesgos'!$P$16),"")</f>
        <v/>
      </c>
      <c r="AH16" s="7" t="str">
        <f>IF(AND('Mapa de Riesgos'!$Z$11="Alta",'Mapa de Riesgos'!$AB$11="Catastrófico"),CONCATENATE("R1C",'Mapa de Riesgos'!$P$11),"")</f>
        <v/>
      </c>
      <c r="AI16" s="8" t="str">
        <f>IF(AND('Mapa de Riesgos'!$Z$12="Alta",'Mapa de Riesgos'!$AB$12="Catastrófico"),CONCATENATE("R1C",'Mapa de Riesgos'!$P$12),"")</f>
        <v/>
      </c>
      <c r="AJ16" s="8" t="str">
        <f>IF(AND('Mapa de Riesgos'!$Z$13="Alta",'Mapa de Riesgos'!$AB$13="Catastrófico"),CONCATENATE("R1C",'Mapa de Riesgos'!$P$13),"")</f>
        <v/>
      </c>
      <c r="AK16" s="8" t="str">
        <f>IF(AND('Mapa de Riesgos'!$Z$14="Alta",'Mapa de Riesgos'!$AB$14="Catastrófico"),CONCATENATE("R1C",'Mapa de Riesgos'!$P$14),"")</f>
        <v/>
      </c>
      <c r="AL16" s="8" t="str">
        <f>IF(AND('Mapa de Riesgos'!$Z$15="Alta",'Mapa de Riesgos'!$AB$15="Catastrófico"),CONCATENATE("R1C",'Mapa de Riesgos'!$P$15),"")</f>
        <v/>
      </c>
      <c r="AM16" s="9" t="str">
        <f>IF(AND('Mapa de Riesgos'!$Z$16="Alta",'Mapa de Riesgos'!$AB$16="Catastrófico"),CONCATENATE("R1C",'Mapa de Riesgos'!$P$16),"")</f>
        <v/>
      </c>
      <c r="AN16" s="41"/>
      <c r="AO16" s="426" t="s">
        <v>114</v>
      </c>
      <c r="AP16" s="427"/>
      <c r="AQ16" s="427"/>
      <c r="AR16" s="427"/>
      <c r="AS16" s="427"/>
      <c r="AT16" s="428"/>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row>
    <row r="17" spans="1:76" ht="15" customHeight="1" x14ac:dyDescent="0.25">
      <c r="A17" s="41"/>
      <c r="B17" s="340"/>
      <c r="C17" s="340"/>
      <c r="D17" s="341"/>
      <c r="E17" s="437"/>
      <c r="F17" s="438"/>
      <c r="G17" s="438"/>
      <c r="H17" s="438"/>
      <c r="I17" s="438"/>
      <c r="J17" s="25" t="str">
        <f>IF(AND('Mapa de Riesgos'!$Z$29="Alta",'Mapa de Riesgos'!$AB$29="Leve"),CONCATENATE("R2C",'Mapa de Riesgos'!$P$29),"")</f>
        <v/>
      </c>
      <c r="K17" s="26" t="str">
        <f>IF(AND('Mapa de Riesgos'!$Z$30="Alta",'Mapa de Riesgos'!$AB$30="Leve"),CONCATENATE("R2C",'Mapa de Riesgos'!$P$30),"")</f>
        <v/>
      </c>
      <c r="L17" s="26" t="str">
        <f>IF(AND('Mapa de Riesgos'!$Z$31="Alta",'Mapa de Riesgos'!$AB$31="Leve"),CONCATENATE("R2C",'Mapa de Riesgos'!$P$31),"")</f>
        <v/>
      </c>
      <c r="M17" s="26" t="str">
        <f>IF(AND('Mapa de Riesgos'!$Z$32="Alta",'Mapa de Riesgos'!$AB$32="Leve"),CONCATENATE("R2C",'Mapa de Riesgos'!$P$32),"")</f>
        <v/>
      </c>
      <c r="N17" s="26" t="str">
        <f>IF(AND('Mapa de Riesgos'!$Z$33="Alta",'Mapa de Riesgos'!$AB$33="Leve"),CONCATENATE("R2C",'Mapa de Riesgos'!$P$33),"")</f>
        <v/>
      </c>
      <c r="O17" s="27" t="str">
        <f>IF(AND('Mapa de Riesgos'!$Z$34="Alta",'Mapa de Riesgos'!$AB$34="Leve"),CONCATENATE("R2C",'Mapa de Riesgos'!$P$34),"")</f>
        <v/>
      </c>
      <c r="P17" s="25" t="str">
        <f>IF(AND('Mapa de Riesgos'!$Z$29="Alta",'Mapa de Riesgos'!$AB$29="Menor"),CONCATENATE("R2C",'Mapa de Riesgos'!$P$29),"")</f>
        <v/>
      </c>
      <c r="Q17" s="26" t="str">
        <f>IF(AND('Mapa de Riesgos'!$Z$30="Alta",'Mapa de Riesgos'!$AB$30="Menor"),CONCATENATE("R2C",'Mapa de Riesgos'!$P$30),"")</f>
        <v/>
      </c>
      <c r="R17" s="26" t="str">
        <f>IF(AND('Mapa de Riesgos'!$Z$31="Alta",'Mapa de Riesgos'!$AB$31="Menor"),CONCATENATE("R2C",'Mapa de Riesgos'!$P$31),"")</f>
        <v/>
      </c>
      <c r="S17" s="26" t="str">
        <f>IF(AND('Mapa de Riesgos'!$Z$32="Alta",'Mapa de Riesgos'!$AB$32="Menor"),CONCATENATE("R2C",'Mapa de Riesgos'!$P$32),"")</f>
        <v/>
      </c>
      <c r="T17" s="26" t="str">
        <f>IF(AND('Mapa de Riesgos'!$Z$33="Alta",'Mapa de Riesgos'!$AB$33="Menor"),CONCATENATE("R2C",'Mapa de Riesgos'!$P$33),"")</f>
        <v/>
      </c>
      <c r="U17" s="27" t="str">
        <f>IF(AND('Mapa de Riesgos'!$Z$34="Alta",'Mapa de Riesgos'!$AB$34="Menor"),CONCATENATE("R2C",'Mapa de Riesgos'!$P$34),"")</f>
        <v/>
      </c>
      <c r="V17" s="10" t="str">
        <f>IF(AND('Mapa de Riesgos'!$Z$29="Alta",'Mapa de Riesgos'!$AB$29="Moderado"),CONCATENATE("R2C",'Mapa de Riesgos'!$P$29),"")</f>
        <v/>
      </c>
      <c r="W17" s="11" t="str">
        <f>IF(AND('Mapa de Riesgos'!$Z$30="Alta",'Mapa de Riesgos'!$AB$30="Moderado"),CONCATENATE("R2C",'Mapa de Riesgos'!$P$30),"")</f>
        <v/>
      </c>
      <c r="X17" s="11" t="str">
        <f>IF(AND('Mapa de Riesgos'!$Z$31="Alta",'Mapa de Riesgos'!$AB$31="Moderado"),CONCATENATE("R2C",'Mapa de Riesgos'!$P$31),"")</f>
        <v/>
      </c>
      <c r="Y17" s="11" t="str">
        <f>IF(AND('Mapa de Riesgos'!$Z$32="Alta",'Mapa de Riesgos'!$AB$32="Moderado"),CONCATENATE("R2C",'Mapa de Riesgos'!$P$32),"")</f>
        <v/>
      </c>
      <c r="Z17" s="11" t="str">
        <f>IF(AND('Mapa de Riesgos'!$Z$33="Alta",'Mapa de Riesgos'!$AB$33="Moderado"),CONCATENATE("R2C",'Mapa de Riesgos'!$P$33),"")</f>
        <v/>
      </c>
      <c r="AA17" s="12" t="str">
        <f>IF(AND('Mapa de Riesgos'!$Z$34="Alta",'Mapa de Riesgos'!$AB$34="Moderado"),CONCATENATE("R2C",'Mapa de Riesgos'!$P$34),"")</f>
        <v/>
      </c>
      <c r="AB17" s="10" t="str">
        <f>IF(AND('Mapa de Riesgos'!$Z$29="Alta",'Mapa de Riesgos'!$AB$29="Mayor"),CONCATENATE("R2C",'Mapa de Riesgos'!$P$29),"")</f>
        <v/>
      </c>
      <c r="AC17" s="11" t="str">
        <f>IF(AND('Mapa de Riesgos'!$Z$30="Alta",'Mapa de Riesgos'!$AB$30="Mayor"),CONCATENATE("R2C",'Mapa de Riesgos'!$P$30),"")</f>
        <v/>
      </c>
      <c r="AD17" s="11" t="str">
        <f>IF(AND('Mapa de Riesgos'!$Z$31="Alta",'Mapa de Riesgos'!$AB$31="Mayor"),CONCATENATE("R2C",'Mapa de Riesgos'!$P$31),"")</f>
        <v/>
      </c>
      <c r="AE17" s="11" t="str">
        <f>IF(AND('Mapa de Riesgos'!$Z$32="Alta",'Mapa de Riesgos'!$AB$32="Mayor"),CONCATENATE("R2C",'Mapa de Riesgos'!$P$32),"")</f>
        <v/>
      </c>
      <c r="AF17" s="11" t="str">
        <f>IF(AND('Mapa de Riesgos'!$Z$33="Alta",'Mapa de Riesgos'!$AB$33="Mayor"),CONCATENATE("R2C",'Mapa de Riesgos'!$P$33),"")</f>
        <v/>
      </c>
      <c r="AG17" s="12" t="str">
        <f>IF(AND('Mapa de Riesgos'!$Z$34="Alta",'Mapa de Riesgos'!$AB$34="Mayor"),CONCATENATE("R2C",'Mapa de Riesgos'!$P$34),"")</f>
        <v/>
      </c>
      <c r="AH17" s="13" t="str">
        <f>IF(AND('Mapa de Riesgos'!$Z$29="Alta",'Mapa de Riesgos'!$AB$29="Catastrófico"),CONCATENATE("R2C",'Mapa de Riesgos'!$P$29),"")</f>
        <v/>
      </c>
      <c r="AI17" s="14" t="str">
        <f>IF(AND('Mapa de Riesgos'!$Z$30="Alta",'Mapa de Riesgos'!$AB$30="Catastrófico"),CONCATENATE("R2C",'Mapa de Riesgos'!$P$30),"")</f>
        <v/>
      </c>
      <c r="AJ17" s="14" t="str">
        <f>IF(AND('Mapa de Riesgos'!$Z$31="Alta",'Mapa de Riesgos'!$AB$31="Catastrófico"),CONCATENATE("R2C",'Mapa de Riesgos'!$P$31),"")</f>
        <v/>
      </c>
      <c r="AK17" s="14" t="str">
        <f>IF(AND('Mapa de Riesgos'!$Z$32="Alta",'Mapa de Riesgos'!$AB$32="Catastrófico"),CONCATENATE("R2C",'Mapa de Riesgos'!$P$32),"")</f>
        <v/>
      </c>
      <c r="AL17" s="14" t="str">
        <f>IF(AND('Mapa de Riesgos'!$Z$33="Alta",'Mapa de Riesgos'!$AB$33="Catastrófico"),CONCATENATE("R2C",'Mapa de Riesgos'!$P$33),"")</f>
        <v/>
      </c>
      <c r="AM17" s="15" t="str">
        <f>IF(AND('Mapa de Riesgos'!$Z$34="Alta",'Mapa de Riesgos'!$AB$34="Catastrófico"),CONCATENATE("R2C",'Mapa de Riesgos'!$P$34),"")</f>
        <v/>
      </c>
      <c r="AN17" s="41"/>
      <c r="AO17" s="429"/>
      <c r="AP17" s="430"/>
      <c r="AQ17" s="430"/>
      <c r="AR17" s="430"/>
      <c r="AS17" s="430"/>
      <c r="AT17" s="43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row>
    <row r="18" spans="1:76" ht="15" customHeight="1" x14ac:dyDescent="0.25">
      <c r="A18" s="41"/>
      <c r="B18" s="340"/>
      <c r="C18" s="340"/>
      <c r="D18" s="341"/>
      <c r="E18" s="439"/>
      <c r="F18" s="438"/>
      <c r="G18" s="438"/>
      <c r="H18" s="438"/>
      <c r="I18" s="438"/>
      <c r="J18" s="25" t="str">
        <f>IF(AND('Mapa de Riesgos'!$Z$35="Alta",'Mapa de Riesgos'!$AB$35="Leve"),CONCATENATE("R3C",'Mapa de Riesgos'!$P$35),"")</f>
        <v/>
      </c>
      <c r="K18" s="26" t="str">
        <f>IF(AND('Mapa de Riesgos'!$Z$36="Alta",'Mapa de Riesgos'!$AB$36="Leve"),CONCATENATE("R3C",'Mapa de Riesgos'!$P$36),"")</f>
        <v/>
      </c>
      <c r="L18" s="26" t="str">
        <f>IF(AND('Mapa de Riesgos'!$Z$37="Alta",'Mapa de Riesgos'!$AB$37="Leve"),CONCATENATE("R3C",'Mapa de Riesgos'!$P$37),"")</f>
        <v/>
      </c>
      <c r="M18" s="26" t="str">
        <f>IF(AND('Mapa de Riesgos'!$Z$38="Alta",'Mapa de Riesgos'!$AB$38="Leve"),CONCATENATE("R3C",'Mapa de Riesgos'!$P$38),"")</f>
        <v/>
      </c>
      <c r="N18" s="26" t="str">
        <f>IF(AND('Mapa de Riesgos'!$Z$39="Alta",'Mapa de Riesgos'!$AB$39="Leve"),CONCATENATE("R3C",'Mapa de Riesgos'!$P$39),"")</f>
        <v/>
      </c>
      <c r="O18" s="27" t="str">
        <f>IF(AND('Mapa de Riesgos'!$Z$40="Alta",'Mapa de Riesgos'!$AB$40="Leve"),CONCATENATE("R3C",'Mapa de Riesgos'!$P$40),"")</f>
        <v/>
      </c>
      <c r="P18" s="25" t="str">
        <f>IF(AND('Mapa de Riesgos'!$Z$35="Alta",'Mapa de Riesgos'!$AB$35="Menor"),CONCATENATE("R3C",'Mapa de Riesgos'!$P$35),"")</f>
        <v/>
      </c>
      <c r="Q18" s="26" t="str">
        <f>IF(AND('Mapa de Riesgos'!$Z$36="Alta",'Mapa de Riesgos'!$AB$36="Menor"),CONCATENATE("R3C",'Mapa de Riesgos'!$P$36),"")</f>
        <v/>
      </c>
      <c r="R18" s="26" t="str">
        <f>IF(AND('Mapa de Riesgos'!$Z$37="Alta",'Mapa de Riesgos'!$AB$37="Menor"),CONCATENATE("R3C",'Mapa de Riesgos'!$P$37),"")</f>
        <v/>
      </c>
      <c r="S18" s="26" t="str">
        <f>IF(AND('Mapa de Riesgos'!$Z$38="Alta",'Mapa de Riesgos'!$AB$38="Menor"),CONCATENATE("R3C",'Mapa de Riesgos'!$P$38),"")</f>
        <v/>
      </c>
      <c r="T18" s="26" t="str">
        <f>IF(AND('Mapa de Riesgos'!$Z$39="Alta",'Mapa de Riesgos'!$AB$39="Menor"),CONCATENATE("R3C",'Mapa de Riesgos'!$P$39),"")</f>
        <v/>
      </c>
      <c r="U18" s="27" t="str">
        <f>IF(AND('Mapa de Riesgos'!$Z$40="Alta",'Mapa de Riesgos'!$AB$40="Menor"),CONCATENATE("R3C",'Mapa de Riesgos'!$P$40),"")</f>
        <v/>
      </c>
      <c r="V18" s="10" t="str">
        <f>IF(AND('Mapa de Riesgos'!$Z$35="Alta",'Mapa de Riesgos'!$AB$35="Moderado"),CONCATENATE("R3C",'Mapa de Riesgos'!$P$35),"")</f>
        <v/>
      </c>
      <c r="W18" s="11" t="str">
        <f>IF(AND('Mapa de Riesgos'!$Z$36="Alta",'Mapa de Riesgos'!$AB$36="Moderado"),CONCATENATE("R3C",'Mapa de Riesgos'!$P$36),"")</f>
        <v/>
      </c>
      <c r="X18" s="11" t="str">
        <f>IF(AND('Mapa de Riesgos'!$Z$37="Alta",'Mapa de Riesgos'!$AB$37="Moderado"),CONCATENATE("R3C",'Mapa de Riesgos'!$P$37),"")</f>
        <v/>
      </c>
      <c r="Y18" s="11" t="str">
        <f>IF(AND('Mapa de Riesgos'!$Z$38="Alta",'Mapa de Riesgos'!$AB$38="Moderado"),CONCATENATE("R3C",'Mapa de Riesgos'!$P$38),"")</f>
        <v/>
      </c>
      <c r="Z18" s="11" t="str">
        <f>IF(AND('Mapa de Riesgos'!$Z$39="Alta",'Mapa de Riesgos'!$AB$39="Moderado"),CONCATENATE("R3C",'Mapa de Riesgos'!$P$39),"")</f>
        <v/>
      </c>
      <c r="AA18" s="12" t="str">
        <f>IF(AND('Mapa de Riesgos'!$Z$40="Alta",'Mapa de Riesgos'!$AB$40="Moderado"),CONCATENATE("R3C",'Mapa de Riesgos'!$P$40),"")</f>
        <v/>
      </c>
      <c r="AB18" s="10" t="str">
        <f>IF(AND('Mapa de Riesgos'!$Z$35="Alta",'Mapa de Riesgos'!$AB$35="Mayor"),CONCATENATE("R3C",'Mapa de Riesgos'!$P$35),"")</f>
        <v/>
      </c>
      <c r="AC18" s="11" t="str">
        <f>IF(AND('Mapa de Riesgos'!$Z$36="Alta",'Mapa de Riesgos'!$AB$36="Mayor"),CONCATENATE("R3C",'Mapa de Riesgos'!$P$36),"")</f>
        <v/>
      </c>
      <c r="AD18" s="11" t="str">
        <f>IF(AND('Mapa de Riesgos'!$Z$37="Alta",'Mapa de Riesgos'!$AB$37="Mayor"),CONCATENATE("R3C",'Mapa de Riesgos'!$P$37),"")</f>
        <v/>
      </c>
      <c r="AE18" s="11" t="str">
        <f>IF(AND('Mapa de Riesgos'!$Z$38="Alta",'Mapa de Riesgos'!$AB$38="Mayor"),CONCATENATE("R3C",'Mapa de Riesgos'!$P$38),"")</f>
        <v/>
      </c>
      <c r="AF18" s="11" t="str">
        <f>IF(AND('Mapa de Riesgos'!$Z$39="Alta",'Mapa de Riesgos'!$AB$39="Mayor"),CONCATENATE("R3C",'Mapa de Riesgos'!$P$39),"")</f>
        <v/>
      </c>
      <c r="AG18" s="12" t="str">
        <f>IF(AND('Mapa de Riesgos'!$Z$40="Alta",'Mapa de Riesgos'!$AB$40="Mayor"),CONCATENATE("R3C",'Mapa de Riesgos'!$P$40),"")</f>
        <v/>
      </c>
      <c r="AH18" s="13" t="str">
        <f>IF(AND('Mapa de Riesgos'!$Z$35="Alta",'Mapa de Riesgos'!$AB$35="Catastrófico"),CONCATENATE("R3C",'Mapa de Riesgos'!$P$35),"")</f>
        <v/>
      </c>
      <c r="AI18" s="14" t="str">
        <f>IF(AND('Mapa de Riesgos'!$Z$36="Alta",'Mapa de Riesgos'!$AB$36="Catastrófico"),CONCATENATE("R3C",'Mapa de Riesgos'!$P$36),"")</f>
        <v/>
      </c>
      <c r="AJ18" s="14" t="str">
        <f>IF(AND('Mapa de Riesgos'!$Z$37="Alta",'Mapa de Riesgos'!$AB$37="Catastrófico"),CONCATENATE("R3C",'Mapa de Riesgos'!$P$37),"")</f>
        <v/>
      </c>
      <c r="AK18" s="14" t="str">
        <f>IF(AND('Mapa de Riesgos'!$Z$38="Alta",'Mapa de Riesgos'!$AB$38="Catastrófico"),CONCATENATE("R3C",'Mapa de Riesgos'!$P$38),"")</f>
        <v/>
      </c>
      <c r="AL18" s="14" t="str">
        <f>IF(AND('Mapa de Riesgos'!$Z$39="Alta",'Mapa de Riesgos'!$AB$39="Catastrófico"),CONCATENATE("R3C",'Mapa de Riesgos'!$P$39),"")</f>
        <v/>
      </c>
      <c r="AM18" s="15" t="str">
        <f>IF(AND('Mapa de Riesgos'!$Z$40="Alta",'Mapa de Riesgos'!$AB$40="Catastrófico"),CONCATENATE("R3C",'Mapa de Riesgos'!$P$40),"")</f>
        <v/>
      </c>
      <c r="AN18" s="41"/>
      <c r="AO18" s="429"/>
      <c r="AP18" s="430"/>
      <c r="AQ18" s="430"/>
      <c r="AR18" s="430"/>
      <c r="AS18" s="430"/>
      <c r="AT18" s="43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row>
    <row r="19" spans="1:76" ht="15" customHeight="1" x14ac:dyDescent="0.25">
      <c r="A19" s="41"/>
      <c r="B19" s="340"/>
      <c r="C19" s="340"/>
      <c r="D19" s="341"/>
      <c r="E19" s="439"/>
      <c r="F19" s="438"/>
      <c r="G19" s="438"/>
      <c r="H19" s="438"/>
      <c r="I19" s="438"/>
      <c r="J19" s="25" t="str">
        <f>IF(AND('Mapa de Riesgos'!$Z$47="Alta",'Mapa de Riesgos'!$AB$47="Leve"),CONCATENATE("R4C",'Mapa de Riesgos'!$P$47),"")</f>
        <v/>
      </c>
      <c r="K19" s="26" t="str">
        <f>IF(AND('Mapa de Riesgos'!$Z$48="Alta",'Mapa de Riesgos'!$AB$48="Leve"),CONCATENATE("R4C",'Mapa de Riesgos'!$P$48),"")</f>
        <v/>
      </c>
      <c r="L19" s="26" t="str">
        <f>IF(AND('Mapa de Riesgos'!$Z$49="Alta",'Mapa de Riesgos'!$AB$49="Leve"),CONCATENATE("R4C",'Mapa de Riesgos'!$P$49),"")</f>
        <v/>
      </c>
      <c r="M19" s="26" t="str">
        <f>IF(AND('Mapa de Riesgos'!$Z$50="Alta",'Mapa de Riesgos'!$AB$50="Leve"),CONCATENATE("R4C",'Mapa de Riesgos'!$P$50),"")</f>
        <v/>
      </c>
      <c r="N19" s="26" t="str">
        <f>IF(AND('Mapa de Riesgos'!$Z$51="Alta",'Mapa de Riesgos'!$AB$51="Leve"),CONCATENATE("R4C",'Mapa de Riesgos'!$P$51),"")</f>
        <v/>
      </c>
      <c r="O19" s="27" t="str">
        <f>IF(AND('Mapa de Riesgos'!$Z$52="Alta",'Mapa de Riesgos'!$AB$52="Leve"),CONCATENATE("R4C",'Mapa de Riesgos'!$P$52),"")</f>
        <v/>
      </c>
      <c r="P19" s="25" t="str">
        <f>IF(AND('Mapa de Riesgos'!$Z$47="Alta",'Mapa de Riesgos'!$AB$47="Menor"),CONCATENATE("R4C",'Mapa de Riesgos'!$P$47),"")</f>
        <v/>
      </c>
      <c r="Q19" s="26" t="str">
        <f>IF(AND('Mapa de Riesgos'!$Z$48="Alta",'Mapa de Riesgos'!$AB$48="Menor"),CONCATENATE("R4C",'Mapa de Riesgos'!$P$48),"")</f>
        <v/>
      </c>
      <c r="R19" s="26" t="str">
        <f>IF(AND('Mapa de Riesgos'!$Z$49="Alta",'Mapa de Riesgos'!$AB$49="Menor"),CONCATENATE("R4C",'Mapa de Riesgos'!$P$49),"")</f>
        <v/>
      </c>
      <c r="S19" s="26" t="str">
        <f>IF(AND('Mapa de Riesgos'!$Z$50="Alta",'Mapa de Riesgos'!$AB$50="Menor"),CONCATENATE("R4C",'Mapa de Riesgos'!$P$50),"")</f>
        <v/>
      </c>
      <c r="T19" s="26" t="str">
        <f>IF(AND('Mapa de Riesgos'!$Z$51="Alta",'Mapa de Riesgos'!$AB$51="Menor"),CONCATENATE("R4C",'Mapa de Riesgos'!$P$51),"")</f>
        <v/>
      </c>
      <c r="U19" s="27" t="str">
        <f>IF(AND('Mapa de Riesgos'!$Z$52="Alta",'Mapa de Riesgos'!$AB$52="Menor"),CONCATENATE("R4C",'Mapa de Riesgos'!$P$52),"")</f>
        <v/>
      </c>
      <c r="V19" s="10" t="str">
        <f>IF(AND('Mapa de Riesgos'!$Z$47="Alta",'Mapa de Riesgos'!$AB$47="Moderado"),CONCATENATE("R4C",'Mapa de Riesgos'!$P$47),"")</f>
        <v/>
      </c>
      <c r="W19" s="11" t="str">
        <f>IF(AND('Mapa de Riesgos'!$Z$48="Alta",'Mapa de Riesgos'!$AB$48="Moderado"),CONCATENATE("R4C",'Mapa de Riesgos'!$P$48),"")</f>
        <v/>
      </c>
      <c r="X19" s="11" t="str">
        <f>IF(AND('Mapa de Riesgos'!$Z$49="Alta",'Mapa de Riesgos'!$AB$49="Moderado"),CONCATENATE("R4C",'Mapa de Riesgos'!$P$49),"")</f>
        <v/>
      </c>
      <c r="Y19" s="11" t="str">
        <f>IF(AND('Mapa de Riesgos'!$Z$50="Alta",'Mapa de Riesgos'!$AB$50="Moderado"),CONCATENATE("R4C",'Mapa de Riesgos'!$P$50),"")</f>
        <v/>
      </c>
      <c r="Z19" s="11" t="str">
        <f>IF(AND('Mapa de Riesgos'!$Z$51="Alta",'Mapa de Riesgos'!$AB$51="Moderado"),CONCATENATE("R4C",'Mapa de Riesgos'!$P$51),"")</f>
        <v/>
      </c>
      <c r="AA19" s="12" t="str">
        <f>IF(AND('Mapa de Riesgos'!$Z$52="Alta",'Mapa de Riesgos'!$AB$52="Moderado"),CONCATENATE("R4C",'Mapa de Riesgos'!$P$52),"")</f>
        <v/>
      </c>
      <c r="AB19" s="10" t="str">
        <f>IF(AND('Mapa de Riesgos'!$Z$47="Alta",'Mapa de Riesgos'!$AB$47="Mayor"),CONCATENATE("R4C",'Mapa de Riesgos'!$P$47),"")</f>
        <v/>
      </c>
      <c r="AC19" s="11" t="str">
        <f>IF(AND('Mapa de Riesgos'!$Z$48="Alta",'Mapa de Riesgos'!$AB$48="Mayor"),CONCATENATE("R4C",'Mapa de Riesgos'!$P$48),"")</f>
        <v/>
      </c>
      <c r="AD19" s="11" t="str">
        <f>IF(AND('Mapa de Riesgos'!$Z$49="Alta",'Mapa de Riesgos'!$AB$49="Mayor"),CONCATENATE("R4C",'Mapa de Riesgos'!$P$49),"")</f>
        <v/>
      </c>
      <c r="AE19" s="11" t="str">
        <f>IF(AND('Mapa de Riesgos'!$Z$50="Alta",'Mapa de Riesgos'!$AB$50="Mayor"),CONCATENATE("R4C",'Mapa de Riesgos'!$P$50),"")</f>
        <v/>
      </c>
      <c r="AF19" s="11" t="str">
        <f>IF(AND('Mapa de Riesgos'!$Z$51="Alta",'Mapa de Riesgos'!$AB$51="Mayor"),CONCATENATE("R4C",'Mapa de Riesgos'!$P$51),"")</f>
        <v/>
      </c>
      <c r="AG19" s="12" t="str">
        <f>IF(AND('Mapa de Riesgos'!$Z$52="Alta",'Mapa de Riesgos'!$AB$52="Mayor"),CONCATENATE("R4C",'Mapa de Riesgos'!$P$52),"")</f>
        <v/>
      </c>
      <c r="AH19" s="13" t="str">
        <f>IF(AND('Mapa de Riesgos'!$Z$47="Alta",'Mapa de Riesgos'!$AB$47="Catastrófico"),CONCATENATE("R4C",'Mapa de Riesgos'!$P$47),"")</f>
        <v/>
      </c>
      <c r="AI19" s="14" t="str">
        <f>IF(AND('Mapa de Riesgos'!$Z$48="Alta",'Mapa de Riesgos'!$AB$48="Catastrófico"),CONCATENATE("R4C",'Mapa de Riesgos'!$P$48),"")</f>
        <v/>
      </c>
      <c r="AJ19" s="14" t="str">
        <f>IF(AND('Mapa de Riesgos'!$Z$49="Alta",'Mapa de Riesgos'!$AB$49="Catastrófico"),CONCATENATE("R4C",'Mapa de Riesgos'!$P$49),"")</f>
        <v/>
      </c>
      <c r="AK19" s="14" t="str">
        <f>IF(AND('Mapa de Riesgos'!$Z$50="Alta",'Mapa de Riesgos'!$AB$50="Catastrófico"),CONCATENATE("R4C",'Mapa de Riesgos'!$P$50),"")</f>
        <v/>
      </c>
      <c r="AL19" s="14" t="str">
        <f>IF(AND('Mapa de Riesgos'!$Z$51="Alta",'Mapa de Riesgos'!$AB$51="Catastrófico"),CONCATENATE("R4C",'Mapa de Riesgos'!$P$51),"")</f>
        <v/>
      </c>
      <c r="AM19" s="15" t="str">
        <f>IF(AND('Mapa de Riesgos'!$Z$52="Alta",'Mapa de Riesgos'!$AB$52="Catastrófico"),CONCATENATE("R4C",'Mapa de Riesgos'!$P$52),"")</f>
        <v/>
      </c>
      <c r="AN19" s="41"/>
      <c r="AO19" s="429"/>
      <c r="AP19" s="430"/>
      <c r="AQ19" s="430"/>
      <c r="AR19" s="430"/>
      <c r="AS19" s="430"/>
      <c r="AT19" s="43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row>
    <row r="20" spans="1:76" ht="15" customHeight="1" x14ac:dyDescent="0.25">
      <c r="A20" s="41"/>
      <c r="B20" s="340"/>
      <c r="C20" s="340"/>
      <c r="D20" s="341"/>
      <c r="E20" s="439"/>
      <c r="F20" s="438"/>
      <c r="G20" s="438"/>
      <c r="H20" s="438"/>
      <c r="I20" s="438"/>
      <c r="J20" s="25" t="e">
        <f>IF(AND('Mapa de Riesgos'!#REF!="Alta",'Mapa de Riesgos'!#REF!="Leve"),CONCATENATE("R5C",'Mapa de Riesgos'!#REF!),"")</f>
        <v>#REF!</v>
      </c>
      <c r="K20" s="26" t="e">
        <f>IF(AND('Mapa de Riesgos'!#REF!="Alta",'Mapa de Riesgos'!#REF!="Leve"),CONCATENATE("R5C",'Mapa de Riesgos'!#REF!),"")</f>
        <v>#REF!</v>
      </c>
      <c r="L20" s="26" t="e">
        <f>IF(AND('Mapa de Riesgos'!#REF!="Alta",'Mapa de Riesgos'!#REF!="Leve"),CONCATENATE("R5C",'Mapa de Riesgos'!#REF!),"")</f>
        <v>#REF!</v>
      </c>
      <c r="M20" s="26" t="e">
        <f>IF(AND('Mapa de Riesgos'!#REF!="Alta",'Mapa de Riesgos'!#REF!="Leve"),CONCATENATE("R5C",'Mapa de Riesgos'!#REF!),"")</f>
        <v>#REF!</v>
      </c>
      <c r="N20" s="26" t="e">
        <f>IF(AND('Mapa de Riesgos'!#REF!="Alta",'Mapa de Riesgos'!#REF!="Leve"),CONCATENATE("R5C",'Mapa de Riesgos'!#REF!),"")</f>
        <v>#REF!</v>
      </c>
      <c r="O20" s="27" t="e">
        <f>IF(AND('Mapa de Riesgos'!#REF!="Alta",'Mapa de Riesgos'!#REF!="Leve"),CONCATENATE("R5C",'Mapa de Riesgos'!#REF!),"")</f>
        <v>#REF!</v>
      </c>
      <c r="P20" s="25" t="e">
        <f>IF(AND('Mapa de Riesgos'!#REF!="Alta",'Mapa de Riesgos'!#REF!="Menor"),CONCATENATE("R5C",'Mapa de Riesgos'!#REF!),"")</f>
        <v>#REF!</v>
      </c>
      <c r="Q20" s="26" t="e">
        <f>IF(AND('Mapa de Riesgos'!#REF!="Alta",'Mapa de Riesgos'!#REF!="Menor"),CONCATENATE("R5C",'Mapa de Riesgos'!#REF!),"")</f>
        <v>#REF!</v>
      </c>
      <c r="R20" s="26" t="e">
        <f>IF(AND('Mapa de Riesgos'!#REF!="Alta",'Mapa de Riesgos'!#REF!="Menor"),CONCATENATE("R5C",'Mapa de Riesgos'!#REF!),"")</f>
        <v>#REF!</v>
      </c>
      <c r="S20" s="26" t="e">
        <f>IF(AND('Mapa de Riesgos'!#REF!="Alta",'Mapa de Riesgos'!#REF!="Menor"),CONCATENATE("R5C",'Mapa de Riesgos'!#REF!),"")</f>
        <v>#REF!</v>
      </c>
      <c r="T20" s="26" t="e">
        <f>IF(AND('Mapa de Riesgos'!#REF!="Alta",'Mapa de Riesgos'!#REF!="Menor"),CONCATENATE("R5C",'Mapa de Riesgos'!#REF!),"")</f>
        <v>#REF!</v>
      </c>
      <c r="U20" s="27" t="e">
        <f>IF(AND('Mapa de Riesgos'!#REF!="Alta",'Mapa de Riesgos'!#REF!="Menor"),CONCATENATE("R5C",'Mapa de Riesgos'!#REF!),"")</f>
        <v>#REF!</v>
      </c>
      <c r="V20" s="10" t="e">
        <f>IF(AND('Mapa de Riesgos'!#REF!="Alta",'Mapa de Riesgos'!#REF!="Moderado"),CONCATENATE("R5C",'Mapa de Riesgos'!#REF!),"")</f>
        <v>#REF!</v>
      </c>
      <c r="W20" s="11" t="e">
        <f>IF(AND('Mapa de Riesgos'!#REF!="Alta",'Mapa de Riesgos'!#REF!="Moderado"),CONCATENATE("R5C",'Mapa de Riesgos'!#REF!),"")</f>
        <v>#REF!</v>
      </c>
      <c r="X20" s="11" t="e">
        <f>IF(AND('Mapa de Riesgos'!#REF!="Alta",'Mapa de Riesgos'!#REF!="Moderado"),CONCATENATE("R5C",'Mapa de Riesgos'!#REF!),"")</f>
        <v>#REF!</v>
      </c>
      <c r="Y20" s="11" t="e">
        <f>IF(AND('Mapa de Riesgos'!#REF!="Alta",'Mapa de Riesgos'!#REF!="Moderado"),CONCATENATE("R5C",'Mapa de Riesgos'!#REF!),"")</f>
        <v>#REF!</v>
      </c>
      <c r="Z20" s="11" t="e">
        <f>IF(AND('Mapa de Riesgos'!#REF!="Alta",'Mapa de Riesgos'!#REF!="Moderado"),CONCATENATE("R5C",'Mapa de Riesgos'!#REF!),"")</f>
        <v>#REF!</v>
      </c>
      <c r="AA20" s="12" t="e">
        <f>IF(AND('Mapa de Riesgos'!#REF!="Alta",'Mapa de Riesgos'!#REF!="Moderado"),CONCATENATE("R5C",'Mapa de Riesgos'!#REF!),"")</f>
        <v>#REF!</v>
      </c>
      <c r="AB20" s="10" t="e">
        <f>IF(AND('Mapa de Riesgos'!#REF!="Alta",'Mapa de Riesgos'!#REF!="Mayor"),CONCATENATE("R5C",'Mapa de Riesgos'!#REF!),"")</f>
        <v>#REF!</v>
      </c>
      <c r="AC20" s="11" t="e">
        <f>IF(AND('Mapa de Riesgos'!#REF!="Alta",'Mapa de Riesgos'!#REF!="Mayor"),CONCATENATE("R5C",'Mapa de Riesgos'!#REF!),"")</f>
        <v>#REF!</v>
      </c>
      <c r="AD20" s="11" t="e">
        <f>IF(AND('Mapa de Riesgos'!#REF!="Alta",'Mapa de Riesgos'!#REF!="Mayor"),CONCATENATE("R5C",'Mapa de Riesgos'!#REF!),"")</f>
        <v>#REF!</v>
      </c>
      <c r="AE20" s="11" t="e">
        <f>IF(AND('Mapa de Riesgos'!#REF!="Alta",'Mapa de Riesgos'!#REF!="Mayor"),CONCATENATE("R5C",'Mapa de Riesgos'!#REF!),"")</f>
        <v>#REF!</v>
      </c>
      <c r="AF20" s="11" t="e">
        <f>IF(AND('Mapa de Riesgos'!#REF!="Alta",'Mapa de Riesgos'!#REF!="Mayor"),CONCATENATE("R5C",'Mapa de Riesgos'!#REF!),"")</f>
        <v>#REF!</v>
      </c>
      <c r="AG20" s="12" t="e">
        <f>IF(AND('Mapa de Riesgos'!#REF!="Alta",'Mapa de Riesgos'!#REF!="Mayor"),CONCATENATE("R5C",'Mapa de Riesgos'!#REF!),"")</f>
        <v>#REF!</v>
      </c>
      <c r="AH20" s="13" t="e">
        <f>IF(AND('Mapa de Riesgos'!#REF!="Alta",'Mapa de Riesgos'!#REF!="Catastrófico"),CONCATENATE("R5C",'Mapa de Riesgos'!#REF!),"")</f>
        <v>#REF!</v>
      </c>
      <c r="AI20" s="14" t="e">
        <f>IF(AND('Mapa de Riesgos'!#REF!="Alta",'Mapa de Riesgos'!#REF!="Catastrófico"),CONCATENATE("R5C",'Mapa de Riesgos'!#REF!),"")</f>
        <v>#REF!</v>
      </c>
      <c r="AJ20" s="14" t="e">
        <f>IF(AND('Mapa de Riesgos'!#REF!="Alta",'Mapa de Riesgos'!#REF!="Catastrófico"),CONCATENATE("R5C",'Mapa de Riesgos'!#REF!),"")</f>
        <v>#REF!</v>
      </c>
      <c r="AK20" s="14" t="e">
        <f>IF(AND('Mapa de Riesgos'!#REF!="Alta",'Mapa de Riesgos'!#REF!="Catastrófico"),CONCATENATE("R5C",'Mapa de Riesgos'!#REF!),"")</f>
        <v>#REF!</v>
      </c>
      <c r="AL20" s="14" t="e">
        <f>IF(AND('Mapa de Riesgos'!#REF!="Alta",'Mapa de Riesgos'!#REF!="Catastrófico"),CONCATENATE("R5C",'Mapa de Riesgos'!#REF!),"")</f>
        <v>#REF!</v>
      </c>
      <c r="AM20" s="15" t="e">
        <f>IF(AND('Mapa de Riesgos'!#REF!="Alta",'Mapa de Riesgos'!#REF!="Catastrófico"),CONCATENATE("R5C",'Mapa de Riesgos'!#REF!),"")</f>
        <v>#REF!</v>
      </c>
      <c r="AN20" s="41"/>
      <c r="AO20" s="429"/>
      <c r="AP20" s="430"/>
      <c r="AQ20" s="430"/>
      <c r="AR20" s="430"/>
      <c r="AS20" s="430"/>
      <c r="AT20" s="43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row>
    <row r="21" spans="1:76" ht="15" customHeight="1" x14ac:dyDescent="0.25">
      <c r="A21" s="41"/>
      <c r="B21" s="340"/>
      <c r="C21" s="340"/>
      <c r="D21" s="341"/>
      <c r="E21" s="439"/>
      <c r="F21" s="438"/>
      <c r="G21" s="438"/>
      <c r="H21" s="438"/>
      <c r="I21" s="438"/>
      <c r="J21" s="25" t="str">
        <f>IF(AND('Mapa de Riesgos'!$Z$53="Alta",'Mapa de Riesgos'!$AB$53="Leve"),CONCATENATE("R6C",'Mapa de Riesgos'!$P$53),"")</f>
        <v/>
      </c>
      <c r="K21" s="26" t="str">
        <f>IF(AND('Mapa de Riesgos'!$Z$54="Alta",'Mapa de Riesgos'!$AB$54="Leve"),CONCATENATE("R6C",'Mapa de Riesgos'!$P$54),"")</f>
        <v/>
      </c>
      <c r="L21" s="26" t="str">
        <f>IF(AND('Mapa de Riesgos'!$Z$55="Alta",'Mapa de Riesgos'!$AB$55="Leve"),CONCATENATE("R6C",'Mapa de Riesgos'!$P$55),"")</f>
        <v/>
      </c>
      <c r="M21" s="26" t="str">
        <f>IF(AND('Mapa de Riesgos'!$Z$56="Alta",'Mapa de Riesgos'!$AB$56="Leve"),CONCATENATE("R6C",'Mapa de Riesgos'!$P$56),"")</f>
        <v/>
      </c>
      <c r="N21" s="26" t="str">
        <f>IF(AND('Mapa de Riesgos'!$Z$57="Alta",'Mapa de Riesgos'!$AB$57="Leve"),CONCATENATE("R6C",'Mapa de Riesgos'!$P$57),"")</f>
        <v/>
      </c>
      <c r="O21" s="27" t="str">
        <f>IF(AND('Mapa de Riesgos'!$Z$58="Alta",'Mapa de Riesgos'!$AB$58="Leve"),CONCATENATE("R6C",'Mapa de Riesgos'!$P$58),"")</f>
        <v/>
      </c>
      <c r="P21" s="25" t="str">
        <f>IF(AND('Mapa de Riesgos'!$Z$53="Alta",'Mapa de Riesgos'!$AB$53="Menor"),CONCATENATE("R6C",'Mapa de Riesgos'!$P$53),"")</f>
        <v/>
      </c>
      <c r="Q21" s="26" t="str">
        <f>IF(AND('Mapa de Riesgos'!$Z$54="Alta",'Mapa de Riesgos'!$AB$54="Menor"),CONCATENATE("R6C",'Mapa de Riesgos'!$P$54),"")</f>
        <v/>
      </c>
      <c r="R21" s="26" t="str">
        <f>IF(AND('Mapa de Riesgos'!$Z$55="Alta",'Mapa de Riesgos'!$AB$55="Menor"),CONCATENATE("R6C",'Mapa de Riesgos'!$P$55),"")</f>
        <v/>
      </c>
      <c r="S21" s="26" t="str">
        <f>IF(AND('Mapa de Riesgos'!$Z$56="Alta",'Mapa de Riesgos'!$AB$56="Menor"),CONCATENATE("R6C",'Mapa de Riesgos'!$P$56),"")</f>
        <v/>
      </c>
      <c r="T21" s="26" t="str">
        <f>IF(AND('Mapa de Riesgos'!$Z$57="Alta",'Mapa de Riesgos'!$AB$57="Menor"),CONCATENATE("R6C",'Mapa de Riesgos'!$P$57),"")</f>
        <v/>
      </c>
      <c r="U21" s="27" t="str">
        <f>IF(AND('Mapa de Riesgos'!$Z$58="Alta",'Mapa de Riesgos'!$AB$58="Menor"),CONCATENATE("R6C",'Mapa de Riesgos'!$P$58),"")</f>
        <v/>
      </c>
      <c r="V21" s="10" t="str">
        <f>IF(AND('Mapa de Riesgos'!$Z$53="Alta",'Mapa de Riesgos'!$AB$53="Moderado"),CONCATENATE("R6C",'Mapa de Riesgos'!$P$53),"")</f>
        <v/>
      </c>
      <c r="W21" s="11" t="str">
        <f>IF(AND('Mapa de Riesgos'!$Z$54="Alta",'Mapa de Riesgos'!$AB$54="Moderado"),CONCATENATE("R6C",'Mapa de Riesgos'!$P$54),"")</f>
        <v/>
      </c>
      <c r="X21" s="11" t="str">
        <f>IF(AND('Mapa de Riesgos'!$Z$55="Alta",'Mapa de Riesgos'!$AB$55="Moderado"),CONCATENATE("R6C",'Mapa de Riesgos'!$P$55),"")</f>
        <v/>
      </c>
      <c r="Y21" s="11" t="str">
        <f>IF(AND('Mapa de Riesgos'!$Z$56="Alta",'Mapa de Riesgos'!$AB$56="Moderado"),CONCATENATE("R6C",'Mapa de Riesgos'!$P$56),"")</f>
        <v/>
      </c>
      <c r="Z21" s="11" t="str">
        <f>IF(AND('Mapa de Riesgos'!$Z$57="Alta",'Mapa de Riesgos'!$AB$57="Moderado"),CONCATENATE("R6C",'Mapa de Riesgos'!$P$57),"")</f>
        <v/>
      </c>
      <c r="AA21" s="12" t="str">
        <f>IF(AND('Mapa de Riesgos'!$Z$58="Alta",'Mapa de Riesgos'!$AB$58="Moderado"),CONCATENATE("R6C",'Mapa de Riesgos'!$P$58),"")</f>
        <v/>
      </c>
      <c r="AB21" s="10" t="str">
        <f>IF(AND('Mapa de Riesgos'!$Z$53="Alta",'Mapa de Riesgos'!$AB$53="Mayor"),CONCATENATE("R6C",'Mapa de Riesgos'!$P$53),"")</f>
        <v/>
      </c>
      <c r="AC21" s="11" t="str">
        <f>IF(AND('Mapa de Riesgos'!$Z$54="Alta",'Mapa de Riesgos'!$AB$54="Mayor"),CONCATENATE("R6C",'Mapa de Riesgos'!$P$54),"")</f>
        <v/>
      </c>
      <c r="AD21" s="11" t="str">
        <f>IF(AND('Mapa de Riesgos'!$Z$55="Alta",'Mapa de Riesgos'!$AB$55="Mayor"),CONCATENATE("R6C",'Mapa de Riesgos'!$P$55),"")</f>
        <v/>
      </c>
      <c r="AE21" s="11" t="str">
        <f>IF(AND('Mapa de Riesgos'!$Z$56="Alta",'Mapa de Riesgos'!$AB$56="Mayor"),CONCATENATE("R6C",'Mapa de Riesgos'!$P$56),"")</f>
        <v/>
      </c>
      <c r="AF21" s="11" t="str">
        <f>IF(AND('Mapa de Riesgos'!$Z$57="Alta",'Mapa de Riesgos'!$AB$57="Mayor"),CONCATENATE("R6C",'Mapa de Riesgos'!$P$57),"")</f>
        <v/>
      </c>
      <c r="AG21" s="12" t="str">
        <f>IF(AND('Mapa de Riesgos'!$Z$58="Alta",'Mapa de Riesgos'!$AB$58="Mayor"),CONCATENATE("R6C",'Mapa de Riesgos'!$P$58),"")</f>
        <v/>
      </c>
      <c r="AH21" s="13" t="str">
        <f>IF(AND('Mapa de Riesgos'!$Z$53="Alta",'Mapa de Riesgos'!$AB$53="Catastrófico"),CONCATENATE("R6C",'Mapa de Riesgos'!$P$53),"")</f>
        <v/>
      </c>
      <c r="AI21" s="14" t="str">
        <f>IF(AND('Mapa de Riesgos'!$Z$54="Alta",'Mapa de Riesgos'!$AB$54="Catastrófico"),CONCATENATE("R6C",'Mapa de Riesgos'!$P$54),"")</f>
        <v/>
      </c>
      <c r="AJ21" s="14" t="str">
        <f>IF(AND('Mapa de Riesgos'!$Z$55="Alta",'Mapa de Riesgos'!$AB$55="Catastrófico"),CONCATENATE("R6C",'Mapa de Riesgos'!$P$55),"")</f>
        <v/>
      </c>
      <c r="AK21" s="14" t="str">
        <f>IF(AND('Mapa de Riesgos'!$Z$56="Alta",'Mapa de Riesgos'!$AB$56="Catastrófico"),CONCATENATE("R6C",'Mapa de Riesgos'!$P$56),"")</f>
        <v/>
      </c>
      <c r="AL21" s="14" t="str">
        <f>IF(AND('Mapa de Riesgos'!$Z$57="Alta",'Mapa de Riesgos'!$AB$57="Catastrófico"),CONCATENATE("R6C",'Mapa de Riesgos'!$P$57),"")</f>
        <v/>
      </c>
      <c r="AM21" s="15" t="str">
        <f>IF(AND('Mapa de Riesgos'!$Z$58="Alta",'Mapa de Riesgos'!$AB$58="Catastrófico"),CONCATENATE("R6C",'Mapa de Riesgos'!$P$58),"")</f>
        <v/>
      </c>
      <c r="AN21" s="41"/>
      <c r="AO21" s="429"/>
      <c r="AP21" s="430"/>
      <c r="AQ21" s="430"/>
      <c r="AR21" s="430"/>
      <c r="AS21" s="430"/>
      <c r="AT21" s="43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row>
    <row r="22" spans="1:76" ht="15" customHeight="1" x14ac:dyDescent="0.25">
      <c r="A22" s="41"/>
      <c r="B22" s="340"/>
      <c r="C22" s="340"/>
      <c r="D22" s="341"/>
      <c r="E22" s="439"/>
      <c r="F22" s="438"/>
      <c r="G22" s="438"/>
      <c r="H22" s="438"/>
      <c r="I22" s="438"/>
      <c r="J22" s="25" t="str">
        <f>IF(AND('Mapa de Riesgos'!$Z$23="Alta",'Mapa de Riesgos'!$AB$23="Leve"),CONCATENATE("R7C",'Mapa de Riesgos'!$P$23),"")</f>
        <v/>
      </c>
      <c r="K22" s="26" t="str">
        <f>IF(AND('Mapa de Riesgos'!$Z$24="Alta",'Mapa de Riesgos'!$AB$24="Leve"),CONCATENATE("R7C",'Mapa de Riesgos'!$P$24),"")</f>
        <v/>
      </c>
      <c r="L22" s="26" t="str">
        <f>IF(AND('Mapa de Riesgos'!$Z$25="Alta",'Mapa de Riesgos'!$AB$25="Leve"),CONCATENATE("R7C",'Mapa de Riesgos'!$P$25),"")</f>
        <v/>
      </c>
      <c r="M22" s="26" t="str">
        <f>IF(AND('Mapa de Riesgos'!$Z$26="Alta",'Mapa de Riesgos'!$AB$26="Leve"),CONCATENATE("R7C",'Mapa de Riesgos'!$P$26),"")</f>
        <v/>
      </c>
      <c r="N22" s="26" t="str">
        <f>IF(AND('Mapa de Riesgos'!$Z$27="Alta",'Mapa de Riesgos'!$AB$27="Leve"),CONCATENATE("R7C",'Mapa de Riesgos'!$P$27),"")</f>
        <v/>
      </c>
      <c r="O22" s="27" t="str">
        <f>IF(AND('Mapa de Riesgos'!$Z$28="Alta",'Mapa de Riesgos'!$AB$28="Leve"),CONCATENATE("R7C",'Mapa de Riesgos'!$P$28),"")</f>
        <v/>
      </c>
      <c r="P22" s="25" t="str">
        <f>IF(AND('Mapa de Riesgos'!$Z$23="Alta",'Mapa de Riesgos'!$AB$23="Menor"),CONCATENATE("R7C",'Mapa de Riesgos'!$P$23),"")</f>
        <v/>
      </c>
      <c r="Q22" s="26" t="str">
        <f>IF(AND('Mapa de Riesgos'!$Z$24="Alta",'Mapa de Riesgos'!$AB$24="Menor"),CONCATENATE("R7C",'Mapa de Riesgos'!$P$24),"")</f>
        <v/>
      </c>
      <c r="R22" s="26" t="str">
        <f>IF(AND('Mapa de Riesgos'!$Z$25="Alta",'Mapa de Riesgos'!$AB$25="Menor"),CONCATENATE("R7C",'Mapa de Riesgos'!$P$25),"")</f>
        <v/>
      </c>
      <c r="S22" s="26" t="str">
        <f>IF(AND('Mapa de Riesgos'!$Z$26="Alta",'Mapa de Riesgos'!$AB$26="Menor"),CONCATENATE("R7C",'Mapa de Riesgos'!$P$26),"")</f>
        <v/>
      </c>
      <c r="T22" s="26" t="str">
        <f>IF(AND('Mapa de Riesgos'!$Z$27="Alta",'Mapa de Riesgos'!$AB$27="Menor"),CONCATENATE("R7C",'Mapa de Riesgos'!$P$27),"")</f>
        <v/>
      </c>
      <c r="U22" s="27" t="str">
        <f>IF(AND('Mapa de Riesgos'!$Z$28="Alta",'Mapa de Riesgos'!$AB$28="Menor"),CONCATENATE("R7C",'Mapa de Riesgos'!$P$28),"")</f>
        <v/>
      </c>
      <c r="V22" s="10" t="str">
        <f>IF(AND('Mapa de Riesgos'!$Z$23="Alta",'Mapa de Riesgos'!$AB$23="Moderado"),CONCATENATE("R7C",'Mapa de Riesgos'!$P$23),"")</f>
        <v/>
      </c>
      <c r="W22" s="11" t="str">
        <f>IF(AND('Mapa de Riesgos'!$Z$24="Alta",'Mapa de Riesgos'!$AB$24="Moderado"),CONCATENATE("R7C",'Mapa de Riesgos'!$P$24),"")</f>
        <v/>
      </c>
      <c r="X22" s="11" t="str">
        <f>IF(AND('Mapa de Riesgos'!$Z$25="Alta",'Mapa de Riesgos'!$AB$25="Moderado"),CONCATENATE("R7C",'Mapa de Riesgos'!$P$25),"")</f>
        <v/>
      </c>
      <c r="Y22" s="11" t="str">
        <f>IF(AND('Mapa de Riesgos'!$Z$26="Alta",'Mapa de Riesgos'!$AB$26="Moderado"),CONCATENATE("R7C",'Mapa de Riesgos'!$P$26),"")</f>
        <v/>
      </c>
      <c r="Z22" s="11" t="str">
        <f>IF(AND('Mapa de Riesgos'!$Z$27="Alta",'Mapa de Riesgos'!$AB$27="Moderado"),CONCATENATE("R7C",'Mapa de Riesgos'!$P$27),"")</f>
        <v/>
      </c>
      <c r="AA22" s="12" t="str">
        <f>IF(AND('Mapa de Riesgos'!$Z$28="Alta",'Mapa de Riesgos'!$AB$28="Moderado"),CONCATENATE("R7C",'Mapa de Riesgos'!$P$28),"")</f>
        <v/>
      </c>
      <c r="AB22" s="10" t="str">
        <f>IF(AND('Mapa de Riesgos'!$Z$23="Alta",'Mapa de Riesgos'!$AB$23="Mayor"),CONCATENATE("R7C",'Mapa de Riesgos'!$P$23),"")</f>
        <v/>
      </c>
      <c r="AC22" s="11" t="str">
        <f>IF(AND('Mapa de Riesgos'!$Z$24="Alta",'Mapa de Riesgos'!$AB$24="Mayor"),CONCATENATE("R7C",'Mapa de Riesgos'!$P$24),"")</f>
        <v/>
      </c>
      <c r="AD22" s="11" t="str">
        <f>IF(AND('Mapa de Riesgos'!$Z$25="Alta",'Mapa de Riesgos'!$AB$25="Mayor"),CONCATENATE("R7C",'Mapa de Riesgos'!$P$25),"")</f>
        <v/>
      </c>
      <c r="AE22" s="11" t="str">
        <f>IF(AND('Mapa de Riesgos'!$Z$26="Alta",'Mapa de Riesgos'!$AB$26="Mayor"),CONCATENATE("R7C",'Mapa de Riesgos'!$P$26),"")</f>
        <v/>
      </c>
      <c r="AF22" s="11" t="str">
        <f>IF(AND('Mapa de Riesgos'!$Z$27="Alta",'Mapa de Riesgos'!$AB$27="Mayor"),CONCATENATE("R7C",'Mapa de Riesgos'!$P$27),"")</f>
        <v/>
      </c>
      <c r="AG22" s="12" t="str">
        <f>IF(AND('Mapa de Riesgos'!$Z$28="Alta",'Mapa de Riesgos'!$AB$28="Mayor"),CONCATENATE("R7C",'Mapa de Riesgos'!$P$28),"")</f>
        <v/>
      </c>
      <c r="AH22" s="13" t="str">
        <f>IF(AND('Mapa de Riesgos'!$Z$23="Alta",'Mapa de Riesgos'!$AB$23="Catastrófico"),CONCATENATE("R7C",'Mapa de Riesgos'!$P$23),"")</f>
        <v/>
      </c>
      <c r="AI22" s="14" t="str">
        <f>IF(AND('Mapa de Riesgos'!$Z$24="Alta",'Mapa de Riesgos'!$AB$24="Catastrófico"),CONCATENATE("R7C",'Mapa de Riesgos'!$P$24),"")</f>
        <v/>
      </c>
      <c r="AJ22" s="14" t="str">
        <f>IF(AND('Mapa de Riesgos'!$Z$25="Alta",'Mapa de Riesgos'!$AB$25="Catastrófico"),CONCATENATE("R7C",'Mapa de Riesgos'!$P$25),"")</f>
        <v/>
      </c>
      <c r="AK22" s="14" t="str">
        <f>IF(AND('Mapa de Riesgos'!$Z$26="Alta",'Mapa de Riesgos'!$AB$26="Catastrófico"),CONCATENATE("R7C",'Mapa de Riesgos'!$P$26),"")</f>
        <v/>
      </c>
      <c r="AL22" s="14" t="str">
        <f>IF(AND('Mapa de Riesgos'!$Z$27="Alta",'Mapa de Riesgos'!$AB$27="Catastrófico"),CONCATENATE("R7C",'Mapa de Riesgos'!$P$27),"")</f>
        <v/>
      </c>
      <c r="AM22" s="15" t="str">
        <f>IF(AND('Mapa de Riesgos'!$Z$28="Alta",'Mapa de Riesgos'!$AB$28="Catastrófico"),CONCATENATE("R7C",'Mapa de Riesgos'!$P$28),"")</f>
        <v/>
      </c>
      <c r="AN22" s="41"/>
      <c r="AO22" s="429"/>
      <c r="AP22" s="430"/>
      <c r="AQ22" s="430"/>
      <c r="AR22" s="430"/>
      <c r="AS22" s="430"/>
      <c r="AT22" s="43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row>
    <row r="23" spans="1:76" ht="15" customHeight="1" x14ac:dyDescent="0.25">
      <c r="A23" s="41"/>
      <c r="B23" s="340"/>
      <c r="C23" s="340"/>
      <c r="D23" s="341"/>
      <c r="E23" s="439"/>
      <c r="F23" s="438"/>
      <c r="G23" s="438"/>
      <c r="H23" s="438"/>
      <c r="I23" s="438"/>
      <c r="J23" s="25" t="str">
        <f>IF(AND('Mapa de Riesgos'!$Z$17="Alta",'Mapa de Riesgos'!$AB$17="Leve"),CONCATENATE("R8C",'Mapa de Riesgos'!$P$17),"")</f>
        <v/>
      </c>
      <c r="K23" s="26" t="str">
        <f>IF(AND('Mapa de Riesgos'!$Z$18="Alta",'Mapa de Riesgos'!$AB$18="Leve"),CONCATENATE("R8C",'Mapa de Riesgos'!$P$18),"")</f>
        <v/>
      </c>
      <c r="L23" s="26" t="str">
        <f>IF(AND('Mapa de Riesgos'!$Z$19="Alta",'Mapa de Riesgos'!$AB$19="Leve"),CONCATENATE("R8C",'Mapa de Riesgos'!$P$19),"")</f>
        <v/>
      </c>
      <c r="M23" s="26" t="str">
        <f>IF(AND('Mapa de Riesgos'!$Z$20="Alta",'Mapa de Riesgos'!$AB$20="Leve"),CONCATENATE("R8C",'Mapa de Riesgos'!$P$20),"")</f>
        <v/>
      </c>
      <c r="N23" s="26" t="str">
        <f>IF(AND('Mapa de Riesgos'!$Z$21="Alta",'Mapa de Riesgos'!$AB$21="Leve"),CONCATENATE("R8C",'Mapa de Riesgos'!$P$21),"")</f>
        <v/>
      </c>
      <c r="O23" s="27" t="str">
        <f>IF(AND('Mapa de Riesgos'!$Z$22="Alta",'Mapa de Riesgos'!$AB$22="Leve"),CONCATENATE("R8C",'Mapa de Riesgos'!$P$22),"")</f>
        <v/>
      </c>
      <c r="P23" s="25" t="str">
        <f>IF(AND('Mapa de Riesgos'!$Z$17="Alta",'Mapa de Riesgos'!$AB$17="Menor"),CONCATENATE("R8C",'Mapa de Riesgos'!$P$17),"")</f>
        <v/>
      </c>
      <c r="Q23" s="26" t="str">
        <f>IF(AND('Mapa de Riesgos'!$Z$18="Alta",'Mapa de Riesgos'!$AB$18="Menor"),CONCATENATE("R8C",'Mapa de Riesgos'!$P$18),"")</f>
        <v/>
      </c>
      <c r="R23" s="26" t="str">
        <f>IF(AND('Mapa de Riesgos'!$Z$19="Alta",'Mapa de Riesgos'!$AB$19="Menor"),CONCATENATE("R8C",'Mapa de Riesgos'!$P$19),"")</f>
        <v/>
      </c>
      <c r="S23" s="26" t="str">
        <f>IF(AND('Mapa de Riesgos'!$Z$20="Alta",'Mapa de Riesgos'!$AB$20="Menor"),CONCATENATE("R8C",'Mapa de Riesgos'!$P$20),"")</f>
        <v/>
      </c>
      <c r="T23" s="26" t="str">
        <f>IF(AND('Mapa de Riesgos'!$Z$21="Alta",'Mapa de Riesgos'!$AB$21="Menor"),CONCATENATE("R8C",'Mapa de Riesgos'!$P$21),"")</f>
        <v/>
      </c>
      <c r="U23" s="27" t="str">
        <f>IF(AND('Mapa de Riesgos'!$Z$22="Alta",'Mapa de Riesgos'!$AB$22="Menor"),CONCATENATE("R8C",'Mapa de Riesgos'!$P$22),"")</f>
        <v/>
      </c>
      <c r="V23" s="10" t="str">
        <f>IF(AND('Mapa de Riesgos'!$Z$17="Alta",'Mapa de Riesgos'!$AB$17="Moderado"),CONCATENATE("R8C",'Mapa de Riesgos'!$P$17),"")</f>
        <v/>
      </c>
      <c r="W23" s="11" t="str">
        <f>IF(AND('Mapa de Riesgos'!$Z$18="Alta",'Mapa de Riesgos'!$AB$18="Moderado"),CONCATENATE("R8C",'Mapa de Riesgos'!$P$18),"")</f>
        <v/>
      </c>
      <c r="X23" s="11" t="str">
        <f>IF(AND('Mapa de Riesgos'!$Z$19="Alta",'Mapa de Riesgos'!$AB$19="Moderado"),CONCATENATE("R8C",'Mapa de Riesgos'!$P$19),"")</f>
        <v/>
      </c>
      <c r="Y23" s="11" t="str">
        <f>IF(AND('Mapa de Riesgos'!$Z$20="Alta",'Mapa de Riesgos'!$AB$20="Moderado"),CONCATENATE("R8C",'Mapa de Riesgos'!$P$20),"")</f>
        <v/>
      </c>
      <c r="Z23" s="11" t="str">
        <f>IF(AND('Mapa de Riesgos'!$Z$21="Alta",'Mapa de Riesgos'!$AB$21="Moderado"),CONCATENATE("R8C",'Mapa de Riesgos'!$P$21),"")</f>
        <v/>
      </c>
      <c r="AA23" s="12" t="str">
        <f>IF(AND('Mapa de Riesgos'!$Z$22="Alta",'Mapa de Riesgos'!$AB$22="Moderado"),CONCATENATE("R8C",'Mapa de Riesgos'!$P$22),"")</f>
        <v/>
      </c>
      <c r="AB23" s="10" t="str">
        <f>IF(AND('Mapa de Riesgos'!$Z$17="Alta",'Mapa de Riesgos'!$AB$17="Mayor"),CONCATENATE("R8C",'Mapa de Riesgos'!$P$17),"")</f>
        <v/>
      </c>
      <c r="AC23" s="11" t="str">
        <f>IF(AND('Mapa de Riesgos'!$Z$18="Alta",'Mapa de Riesgos'!$AB$18="Mayor"),CONCATENATE("R8C",'Mapa de Riesgos'!$P$18),"")</f>
        <v/>
      </c>
      <c r="AD23" s="11" t="str">
        <f>IF(AND('Mapa de Riesgos'!$Z$19="Alta",'Mapa de Riesgos'!$AB$19="Mayor"),CONCATENATE("R8C",'Mapa de Riesgos'!$P$19),"")</f>
        <v/>
      </c>
      <c r="AE23" s="11" t="str">
        <f>IF(AND('Mapa de Riesgos'!$Z$20="Alta",'Mapa de Riesgos'!$AB$20="Mayor"),CONCATENATE("R8C",'Mapa de Riesgos'!$P$20),"")</f>
        <v/>
      </c>
      <c r="AF23" s="11" t="str">
        <f>IF(AND('Mapa de Riesgos'!$Z$21="Alta",'Mapa de Riesgos'!$AB$21="Mayor"),CONCATENATE("R8C",'Mapa de Riesgos'!$P$21),"")</f>
        <v/>
      </c>
      <c r="AG23" s="12" t="str">
        <f>IF(AND('Mapa de Riesgos'!$Z$22="Alta",'Mapa de Riesgos'!$AB$22="Mayor"),CONCATENATE("R8C",'Mapa de Riesgos'!$P$22),"")</f>
        <v/>
      </c>
      <c r="AH23" s="13" t="str">
        <f>IF(AND('Mapa de Riesgos'!$Z$17="Alta",'Mapa de Riesgos'!$AB$17="Catastrófico"),CONCATENATE("R8C",'Mapa de Riesgos'!$P$17),"")</f>
        <v/>
      </c>
      <c r="AI23" s="14" t="str">
        <f>IF(AND('Mapa de Riesgos'!$Z$18="Alta",'Mapa de Riesgos'!$AB$18="Catastrófico"),CONCATENATE("R8C",'Mapa de Riesgos'!$P$18),"")</f>
        <v/>
      </c>
      <c r="AJ23" s="14" t="str">
        <f>IF(AND('Mapa de Riesgos'!$Z$19="Alta",'Mapa de Riesgos'!$AB$19="Catastrófico"),CONCATENATE("R8C",'Mapa de Riesgos'!$P$19),"")</f>
        <v/>
      </c>
      <c r="AK23" s="14" t="str">
        <f>IF(AND('Mapa de Riesgos'!$Z$20="Alta",'Mapa de Riesgos'!$AB$20="Catastrófico"),CONCATENATE("R8C",'Mapa de Riesgos'!$P$20),"")</f>
        <v/>
      </c>
      <c r="AL23" s="14" t="str">
        <f>IF(AND('Mapa de Riesgos'!$Z$21="Alta",'Mapa de Riesgos'!$AB$21="Catastrófico"),CONCATENATE("R8C",'Mapa de Riesgos'!$P$21),"")</f>
        <v/>
      </c>
      <c r="AM23" s="15" t="str">
        <f>IF(AND('Mapa de Riesgos'!$Z$22="Alta",'Mapa de Riesgos'!$AB$22="Catastrófico"),CONCATENATE("R8C",'Mapa de Riesgos'!$P$22),"")</f>
        <v/>
      </c>
      <c r="AN23" s="41"/>
      <c r="AO23" s="429"/>
      <c r="AP23" s="430"/>
      <c r="AQ23" s="430"/>
      <c r="AR23" s="430"/>
      <c r="AS23" s="430"/>
      <c r="AT23" s="43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row>
    <row r="24" spans="1:76" ht="15" customHeight="1" x14ac:dyDescent="0.25">
      <c r="A24" s="41"/>
      <c r="B24" s="340"/>
      <c r="C24" s="340"/>
      <c r="D24" s="341"/>
      <c r="E24" s="439"/>
      <c r="F24" s="438"/>
      <c r="G24" s="438"/>
      <c r="H24" s="438"/>
      <c r="I24" s="438"/>
      <c r="J24" s="25" t="str">
        <f>IF(AND('Mapa de Riesgos'!$Z$59="Alta",'Mapa de Riesgos'!$AB$59="Leve"),CONCATENATE("R9C",'Mapa de Riesgos'!$P$59),"")</f>
        <v/>
      </c>
      <c r="K24" s="26" t="str">
        <f>IF(AND('Mapa de Riesgos'!$Z$60="Alta",'Mapa de Riesgos'!$AB$60="Leve"),CONCATENATE("R9C",'Mapa de Riesgos'!$P$60),"")</f>
        <v/>
      </c>
      <c r="L24" s="26" t="str">
        <f>IF(AND('Mapa de Riesgos'!$Z$61="Alta",'Mapa de Riesgos'!$AB$61="Leve"),CONCATENATE("R9C",'Mapa de Riesgos'!$P$61),"")</f>
        <v/>
      </c>
      <c r="M24" s="26" t="str">
        <f>IF(AND('Mapa de Riesgos'!$Z$62="Alta",'Mapa de Riesgos'!$AB$62="Leve"),CONCATENATE("R9C",'Mapa de Riesgos'!$P$62),"")</f>
        <v/>
      </c>
      <c r="N24" s="26" t="str">
        <f>IF(AND('Mapa de Riesgos'!$Z$63="Alta",'Mapa de Riesgos'!$AB$63="Leve"),CONCATENATE("R9C",'Mapa de Riesgos'!$P$63),"")</f>
        <v/>
      </c>
      <c r="O24" s="27" t="str">
        <f>IF(AND('Mapa de Riesgos'!$Z$64="Alta",'Mapa de Riesgos'!$AB$64="Leve"),CONCATENATE("R9C",'Mapa de Riesgos'!$P$64),"")</f>
        <v/>
      </c>
      <c r="P24" s="25" t="str">
        <f>IF(AND('Mapa de Riesgos'!$Z$59="Alta",'Mapa de Riesgos'!$AB$59="Menor"),CONCATENATE("R9C",'Mapa de Riesgos'!$P$59),"")</f>
        <v/>
      </c>
      <c r="Q24" s="26" t="str">
        <f>IF(AND('Mapa de Riesgos'!$Z$60="Alta",'Mapa de Riesgos'!$AB$60="Menor"),CONCATENATE("R9C",'Mapa de Riesgos'!$P$60),"")</f>
        <v/>
      </c>
      <c r="R24" s="26" t="str">
        <f>IF(AND('Mapa de Riesgos'!$Z$61="Alta",'Mapa de Riesgos'!$AB$61="Menor"),CONCATENATE("R9C",'Mapa de Riesgos'!$P$61),"")</f>
        <v/>
      </c>
      <c r="S24" s="26" t="str">
        <f>IF(AND('Mapa de Riesgos'!$Z$62="Alta",'Mapa de Riesgos'!$AB$62="Menor"),CONCATENATE("R9C",'Mapa de Riesgos'!$P$62),"")</f>
        <v/>
      </c>
      <c r="T24" s="26" t="str">
        <f>IF(AND('Mapa de Riesgos'!$Z$63="Alta",'Mapa de Riesgos'!$AB$63="Menor"),CONCATENATE("R9C",'Mapa de Riesgos'!$P$63),"")</f>
        <v/>
      </c>
      <c r="U24" s="27" t="str">
        <f>IF(AND('Mapa de Riesgos'!$Z$64="Alta",'Mapa de Riesgos'!$AB$64="Menor"),CONCATENATE("R9C",'Mapa de Riesgos'!$P$64),"")</f>
        <v/>
      </c>
      <c r="V24" s="10" t="str">
        <f>IF(AND('Mapa de Riesgos'!$Z$59="Alta",'Mapa de Riesgos'!$AB$59="Moderado"),CONCATENATE("R9C",'Mapa de Riesgos'!$P$59),"")</f>
        <v/>
      </c>
      <c r="W24" s="11" t="str">
        <f>IF(AND('Mapa de Riesgos'!$Z$60="Alta",'Mapa de Riesgos'!$AB$60="Moderado"),CONCATENATE("R9C",'Mapa de Riesgos'!$P$60),"")</f>
        <v/>
      </c>
      <c r="X24" s="11" t="str">
        <f>IF(AND('Mapa de Riesgos'!$Z$61="Alta",'Mapa de Riesgos'!$AB$61="Moderado"),CONCATENATE("R9C",'Mapa de Riesgos'!$P$61),"")</f>
        <v/>
      </c>
      <c r="Y24" s="11" t="str">
        <f>IF(AND('Mapa de Riesgos'!$Z$62="Alta",'Mapa de Riesgos'!$AB$62="Moderado"),CONCATENATE("R9C",'Mapa de Riesgos'!$P$62),"")</f>
        <v/>
      </c>
      <c r="Z24" s="11" t="str">
        <f>IF(AND('Mapa de Riesgos'!$Z$63="Alta",'Mapa de Riesgos'!$AB$63="Moderado"),CONCATENATE("R9C",'Mapa de Riesgos'!$P$63),"")</f>
        <v/>
      </c>
      <c r="AA24" s="12" t="str">
        <f>IF(AND('Mapa de Riesgos'!$Z$64="Alta",'Mapa de Riesgos'!$AB$64="Moderado"),CONCATENATE("R9C",'Mapa de Riesgos'!$P$64),"")</f>
        <v/>
      </c>
      <c r="AB24" s="10" t="str">
        <f>IF(AND('Mapa de Riesgos'!$Z$59="Alta",'Mapa de Riesgos'!$AB$59="Mayor"),CONCATENATE("R9C",'Mapa de Riesgos'!$P$59),"")</f>
        <v/>
      </c>
      <c r="AC24" s="11" t="str">
        <f>IF(AND('Mapa de Riesgos'!$Z$60="Alta",'Mapa de Riesgos'!$AB$60="Mayor"),CONCATENATE("R9C",'Mapa de Riesgos'!$P$60),"")</f>
        <v/>
      </c>
      <c r="AD24" s="11" t="str">
        <f>IF(AND('Mapa de Riesgos'!$Z$61="Alta",'Mapa de Riesgos'!$AB$61="Mayor"),CONCATENATE("R9C",'Mapa de Riesgos'!$P$61),"")</f>
        <v/>
      </c>
      <c r="AE24" s="11" t="str">
        <f>IF(AND('Mapa de Riesgos'!$Z$62="Alta",'Mapa de Riesgos'!$AB$62="Mayor"),CONCATENATE("R9C",'Mapa de Riesgos'!$P$62),"")</f>
        <v/>
      </c>
      <c r="AF24" s="11" t="str">
        <f>IF(AND('Mapa de Riesgos'!$Z$63="Alta",'Mapa de Riesgos'!$AB$63="Mayor"),CONCATENATE("R9C",'Mapa de Riesgos'!$P$63),"")</f>
        <v/>
      </c>
      <c r="AG24" s="12" t="str">
        <f>IF(AND('Mapa de Riesgos'!$Z$64="Alta",'Mapa de Riesgos'!$AB$64="Mayor"),CONCATENATE("R9C",'Mapa de Riesgos'!$P$64),"")</f>
        <v/>
      </c>
      <c r="AH24" s="13" t="str">
        <f>IF(AND('Mapa de Riesgos'!$Z$59="Alta",'Mapa de Riesgos'!$AB$59="Catastrófico"),CONCATENATE("R9C",'Mapa de Riesgos'!$P$59),"")</f>
        <v/>
      </c>
      <c r="AI24" s="14" t="str">
        <f>IF(AND('Mapa de Riesgos'!$Z$60="Alta",'Mapa de Riesgos'!$AB$60="Catastrófico"),CONCATENATE("R9C",'Mapa de Riesgos'!$P$60),"")</f>
        <v/>
      </c>
      <c r="AJ24" s="14" t="str">
        <f>IF(AND('Mapa de Riesgos'!$Z$61="Alta",'Mapa de Riesgos'!$AB$61="Catastrófico"),CONCATENATE("R9C",'Mapa de Riesgos'!$P$61),"")</f>
        <v/>
      </c>
      <c r="AK24" s="14" t="str">
        <f>IF(AND('Mapa de Riesgos'!$Z$62="Alta",'Mapa de Riesgos'!$AB$62="Catastrófico"),CONCATENATE("R9C",'Mapa de Riesgos'!$P$62),"")</f>
        <v/>
      </c>
      <c r="AL24" s="14" t="str">
        <f>IF(AND('Mapa de Riesgos'!$Z$63="Alta",'Mapa de Riesgos'!$AB$63="Catastrófico"),CONCATENATE("R9C",'Mapa de Riesgos'!$P$63),"")</f>
        <v/>
      </c>
      <c r="AM24" s="15" t="str">
        <f>IF(AND('Mapa de Riesgos'!$Z$64="Alta",'Mapa de Riesgos'!$AB$64="Catastrófico"),CONCATENATE("R9C",'Mapa de Riesgos'!$P$64),"")</f>
        <v/>
      </c>
      <c r="AN24" s="41"/>
      <c r="AO24" s="429"/>
      <c r="AP24" s="430"/>
      <c r="AQ24" s="430"/>
      <c r="AR24" s="430"/>
      <c r="AS24" s="430"/>
      <c r="AT24" s="43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row>
    <row r="25" spans="1:76" ht="15.75" customHeight="1" thickBot="1" x14ac:dyDescent="0.3">
      <c r="A25" s="41"/>
      <c r="B25" s="340"/>
      <c r="C25" s="340"/>
      <c r="D25" s="341"/>
      <c r="E25" s="440"/>
      <c r="F25" s="441"/>
      <c r="G25" s="441"/>
      <c r="H25" s="441"/>
      <c r="I25" s="441"/>
      <c r="J25" s="28" t="str">
        <f>IF(AND('Mapa de Riesgos'!$Z$65="Alta",'Mapa de Riesgos'!$AB$65="Leve"),CONCATENATE("R10C",'Mapa de Riesgos'!$P$65),"")</f>
        <v/>
      </c>
      <c r="K25" s="29" t="str">
        <f>IF(AND('Mapa de Riesgos'!$Z$66="Alta",'Mapa de Riesgos'!$AB$66="Leve"),CONCATENATE("R10C",'Mapa de Riesgos'!$P$66),"")</f>
        <v/>
      </c>
      <c r="L25" s="29" t="str">
        <f>IF(AND('Mapa de Riesgos'!$Z$67="Alta",'Mapa de Riesgos'!$AB$67="Leve"),CONCATENATE("R10C",'Mapa de Riesgos'!$P$67),"")</f>
        <v/>
      </c>
      <c r="M25" s="29" t="str">
        <f>IF(AND('Mapa de Riesgos'!$Z$68="Alta",'Mapa de Riesgos'!$AB$68="Leve"),CONCATENATE("R10C",'Mapa de Riesgos'!$P$68),"")</f>
        <v/>
      </c>
      <c r="N25" s="29" t="str">
        <f>IF(AND('Mapa de Riesgos'!$Z$69="Alta",'Mapa de Riesgos'!$AB$69="Leve"),CONCATENATE("R10C",'Mapa de Riesgos'!$P$69),"")</f>
        <v/>
      </c>
      <c r="O25" s="30" t="str">
        <f>IF(AND('Mapa de Riesgos'!$Z$70="Alta",'Mapa de Riesgos'!$AB$70="Leve"),CONCATENATE("R10C",'Mapa de Riesgos'!$P$70),"")</f>
        <v/>
      </c>
      <c r="P25" s="28" t="str">
        <f>IF(AND('Mapa de Riesgos'!$Z$65="Alta",'Mapa de Riesgos'!$AB$65="Menor"),CONCATENATE("R10C",'Mapa de Riesgos'!$P$65),"")</f>
        <v/>
      </c>
      <c r="Q25" s="29" t="str">
        <f>IF(AND('Mapa de Riesgos'!$Z$66="Alta",'Mapa de Riesgos'!$AB$66="Menor"),CONCATENATE("R10C",'Mapa de Riesgos'!$P$66),"")</f>
        <v/>
      </c>
      <c r="R25" s="29" t="str">
        <f>IF(AND('Mapa de Riesgos'!$Z$67="Alta",'Mapa de Riesgos'!$AB$67="Menor"),CONCATENATE("R10C",'Mapa de Riesgos'!$P$67),"")</f>
        <v/>
      </c>
      <c r="S25" s="29" t="str">
        <f>IF(AND('Mapa de Riesgos'!$Z$68="Alta",'Mapa de Riesgos'!$AB$68="Menor"),CONCATENATE("R10C",'Mapa de Riesgos'!$P$68),"")</f>
        <v/>
      </c>
      <c r="T25" s="29" t="str">
        <f>IF(AND('Mapa de Riesgos'!$Z$69="Alta",'Mapa de Riesgos'!$AB$69="Menor"),CONCATENATE("R10C",'Mapa de Riesgos'!$P$69),"")</f>
        <v/>
      </c>
      <c r="U25" s="30" t="str">
        <f>IF(AND('Mapa de Riesgos'!$Z$70="Alta",'Mapa de Riesgos'!$AB$70="Menor"),CONCATENATE("R10C",'Mapa de Riesgos'!$P$70),"")</f>
        <v/>
      </c>
      <c r="V25" s="16" t="str">
        <f>IF(AND('Mapa de Riesgos'!$Z$65="Alta",'Mapa de Riesgos'!$AB$65="Moderado"),CONCATENATE("R10C",'Mapa de Riesgos'!$P$65),"")</f>
        <v/>
      </c>
      <c r="W25" s="17" t="str">
        <f>IF(AND('Mapa de Riesgos'!$Z$66="Alta",'Mapa de Riesgos'!$AB$66="Moderado"),CONCATENATE("R10C",'Mapa de Riesgos'!$P$66),"")</f>
        <v/>
      </c>
      <c r="X25" s="17" t="str">
        <f>IF(AND('Mapa de Riesgos'!$Z$67="Alta",'Mapa de Riesgos'!$AB$67="Moderado"),CONCATENATE("R10C",'Mapa de Riesgos'!$P$67),"")</f>
        <v/>
      </c>
      <c r="Y25" s="17" t="str">
        <f>IF(AND('Mapa de Riesgos'!$Z$68="Alta",'Mapa de Riesgos'!$AB$68="Moderado"),CONCATENATE("R10C",'Mapa de Riesgos'!$P$68),"")</f>
        <v/>
      </c>
      <c r="Z25" s="17" t="str">
        <f>IF(AND('Mapa de Riesgos'!$Z$69="Alta",'Mapa de Riesgos'!$AB$69="Moderado"),CONCATENATE("R10C",'Mapa de Riesgos'!$P$69),"")</f>
        <v/>
      </c>
      <c r="AA25" s="18" t="str">
        <f>IF(AND('Mapa de Riesgos'!$Z$70="Alta",'Mapa de Riesgos'!$AB$70="Moderado"),CONCATENATE("R10C",'Mapa de Riesgos'!$P$70),"")</f>
        <v/>
      </c>
      <c r="AB25" s="16" t="str">
        <f>IF(AND('Mapa de Riesgos'!$Z$65="Alta",'Mapa de Riesgos'!$AB$65="Mayor"),CONCATENATE("R10C",'Mapa de Riesgos'!$P$65),"")</f>
        <v/>
      </c>
      <c r="AC25" s="17" t="str">
        <f>IF(AND('Mapa de Riesgos'!$Z$66="Alta",'Mapa de Riesgos'!$AB$66="Mayor"),CONCATENATE("R10C",'Mapa de Riesgos'!$P$66),"")</f>
        <v/>
      </c>
      <c r="AD25" s="17" t="str">
        <f>IF(AND('Mapa de Riesgos'!$Z$67="Alta",'Mapa de Riesgos'!$AB$67="Mayor"),CONCATENATE("R10C",'Mapa de Riesgos'!$P$67),"")</f>
        <v/>
      </c>
      <c r="AE25" s="17" t="str">
        <f>IF(AND('Mapa de Riesgos'!$Z$68="Alta",'Mapa de Riesgos'!$AB$68="Mayor"),CONCATENATE("R10C",'Mapa de Riesgos'!$P$68),"")</f>
        <v/>
      </c>
      <c r="AF25" s="17" t="str">
        <f>IF(AND('Mapa de Riesgos'!$Z$69="Alta",'Mapa de Riesgos'!$AB$69="Mayor"),CONCATENATE("R10C",'Mapa de Riesgos'!$P$69),"")</f>
        <v/>
      </c>
      <c r="AG25" s="18" t="str">
        <f>IF(AND('Mapa de Riesgos'!$Z$70="Alta",'Mapa de Riesgos'!$AB$70="Mayor"),CONCATENATE("R10C",'Mapa de Riesgos'!$P$70),"")</f>
        <v/>
      </c>
      <c r="AH25" s="19" t="str">
        <f>IF(AND('Mapa de Riesgos'!$Z$65="Alta",'Mapa de Riesgos'!$AB$65="Catastrófico"),CONCATENATE("R10C",'Mapa de Riesgos'!$P$65),"")</f>
        <v/>
      </c>
      <c r="AI25" s="20" t="str">
        <f>IF(AND('Mapa de Riesgos'!$Z$66="Alta",'Mapa de Riesgos'!$AB$66="Catastrófico"),CONCATENATE("R10C",'Mapa de Riesgos'!$P$66),"")</f>
        <v/>
      </c>
      <c r="AJ25" s="20" t="str">
        <f>IF(AND('Mapa de Riesgos'!$Z$67="Alta",'Mapa de Riesgos'!$AB$67="Catastrófico"),CONCATENATE("R10C",'Mapa de Riesgos'!$P$67),"")</f>
        <v/>
      </c>
      <c r="AK25" s="20" t="str">
        <f>IF(AND('Mapa de Riesgos'!$Z$68="Alta",'Mapa de Riesgos'!$AB$68="Catastrófico"),CONCATENATE("R10C",'Mapa de Riesgos'!$P$68),"")</f>
        <v/>
      </c>
      <c r="AL25" s="20" t="str">
        <f>IF(AND('Mapa de Riesgos'!$Z$69="Alta",'Mapa de Riesgos'!$AB$69="Catastrófico"),CONCATENATE("R10C",'Mapa de Riesgos'!$P$69),"")</f>
        <v/>
      </c>
      <c r="AM25" s="21" t="str">
        <f>IF(AND('Mapa de Riesgos'!$Z$70="Alta",'Mapa de Riesgos'!$AB$70="Catastrófico"),CONCATENATE("R10C",'Mapa de Riesgos'!$P$70),"")</f>
        <v/>
      </c>
      <c r="AN25" s="41"/>
      <c r="AO25" s="432"/>
      <c r="AP25" s="433"/>
      <c r="AQ25" s="433"/>
      <c r="AR25" s="433"/>
      <c r="AS25" s="433"/>
      <c r="AT25" s="434"/>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row>
    <row r="26" spans="1:76" ht="15" customHeight="1" x14ac:dyDescent="0.25">
      <c r="A26" s="41"/>
      <c r="B26" s="340"/>
      <c r="C26" s="340"/>
      <c r="D26" s="341"/>
      <c r="E26" s="435" t="s">
        <v>115</v>
      </c>
      <c r="F26" s="436"/>
      <c r="G26" s="436"/>
      <c r="H26" s="436"/>
      <c r="I26" s="453"/>
      <c r="J26" s="22" t="str">
        <f>IF(AND('Mapa de Riesgos'!$Z$11="Media",'Mapa de Riesgos'!$AB$11="Leve"),CONCATENATE("R1C",'Mapa de Riesgos'!$P$11),"")</f>
        <v/>
      </c>
      <c r="K26" s="23" t="str">
        <f>IF(AND('Mapa de Riesgos'!$Z$12="Media",'Mapa de Riesgos'!$AB$12="Leve"),CONCATENATE("R1C",'Mapa de Riesgos'!$P$12),"")</f>
        <v/>
      </c>
      <c r="L26" s="23" t="str">
        <f>IF(AND('Mapa de Riesgos'!$Z$13="Media",'Mapa de Riesgos'!$AB$13="Leve"),CONCATENATE("R1C",'Mapa de Riesgos'!$P$13),"")</f>
        <v/>
      </c>
      <c r="M26" s="23" t="str">
        <f>IF(AND('Mapa de Riesgos'!$Z$14="Media",'Mapa de Riesgos'!$AB$14="Leve"),CONCATENATE("R1C",'Mapa de Riesgos'!$P$14),"")</f>
        <v/>
      </c>
      <c r="N26" s="23" t="str">
        <f>IF(AND('Mapa de Riesgos'!$Z$15="Media",'Mapa de Riesgos'!$AB$15="Leve"),CONCATENATE("R1C",'Mapa de Riesgos'!$P$15),"")</f>
        <v/>
      </c>
      <c r="O26" s="24" t="str">
        <f>IF(AND('Mapa de Riesgos'!$Z$16="Media",'Mapa de Riesgos'!$AB$16="Leve"),CONCATENATE("R1C",'Mapa de Riesgos'!$P$16),"")</f>
        <v/>
      </c>
      <c r="P26" s="22" t="str">
        <f>IF(AND('Mapa de Riesgos'!$Z$11="Media",'Mapa de Riesgos'!$AB$11="Menor"),CONCATENATE("R1C",'Mapa de Riesgos'!$P$11),"")</f>
        <v/>
      </c>
      <c r="Q26" s="23" t="str">
        <f>IF(AND('Mapa de Riesgos'!$Z$12="Media",'Mapa de Riesgos'!$AB$12="Menor"),CONCATENATE("R1C",'Mapa de Riesgos'!$P$12),"")</f>
        <v/>
      </c>
      <c r="R26" s="23" t="str">
        <f>IF(AND('Mapa de Riesgos'!$Z$13="Media",'Mapa de Riesgos'!$AB$13="Menor"),CONCATENATE("R1C",'Mapa de Riesgos'!$P$13),"")</f>
        <v/>
      </c>
      <c r="S26" s="23" t="str">
        <f>IF(AND('Mapa de Riesgos'!$Z$14="Media",'Mapa de Riesgos'!$AB$14="Menor"),CONCATENATE("R1C",'Mapa de Riesgos'!$P$14),"")</f>
        <v/>
      </c>
      <c r="T26" s="23" t="str">
        <f>IF(AND('Mapa de Riesgos'!$Z$15="Media",'Mapa de Riesgos'!$AB$15="Menor"),CONCATENATE("R1C",'Mapa de Riesgos'!$P$15),"")</f>
        <v/>
      </c>
      <c r="U26" s="24" t="str">
        <f>IF(AND('Mapa de Riesgos'!$Z$16="Media",'Mapa de Riesgos'!$AB$16="Menor"),CONCATENATE("R1C",'Mapa de Riesgos'!$P$16),"")</f>
        <v/>
      </c>
      <c r="V26" s="22" t="str">
        <f>IF(AND('Mapa de Riesgos'!$Z$11="Media",'Mapa de Riesgos'!$AB$11="Moderado"),CONCATENATE("R1C",'Mapa de Riesgos'!$P$11),"")</f>
        <v/>
      </c>
      <c r="W26" s="23" t="str">
        <f>IF(AND('Mapa de Riesgos'!$Z$12="Media",'Mapa de Riesgos'!$AB$12="Moderado"),CONCATENATE("R1C",'Mapa de Riesgos'!$P$12),"")</f>
        <v/>
      </c>
      <c r="X26" s="23" t="str">
        <f>IF(AND('Mapa de Riesgos'!$Z$13="Media",'Mapa de Riesgos'!$AB$13="Moderado"),CONCATENATE("R1C",'Mapa de Riesgos'!$P$13),"")</f>
        <v/>
      </c>
      <c r="Y26" s="23" t="str">
        <f>IF(AND('Mapa de Riesgos'!$Z$14="Media",'Mapa de Riesgos'!$AB$14="Moderado"),CONCATENATE("R1C",'Mapa de Riesgos'!$P$14),"")</f>
        <v/>
      </c>
      <c r="Z26" s="23" t="str">
        <f>IF(AND('Mapa de Riesgos'!$Z$15="Media",'Mapa de Riesgos'!$AB$15="Moderado"),CONCATENATE("R1C",'Mapa de Riesgos'!$P$15),"")</f>
        <v/>
      </c>
      <c r="AA26" s="24" t="str">
        <f>IF(AND('Mapa de Riesgos'!$Z$16="Media",'Mapa de Riesgos'!$AB$16="Moderado"),CONCATENATE("R1C",'Mapa de Riesgos'!$P$16),"")</f>
        <v/>
      </c>
      <c r="AB26" s="4" t="str">
        <f>IF(AND('Mapa de Riesgos'!$Z$11="Media",'Mapa de Riesgos'!$AB$11="Mayor"),CONCATENATE("R1C",'Mapa de Riesgos'!$P$11),"")</f>
        <v/>
      </c>
      <c r="AC26" s="5" t="str">
        <f>IF(AND('Mapa de Riesgos'!$Z$12="Media",'Mapa de Riesgos'!$AB$12="Mayor"),CONCATENATE("R1C",'Mapa de Riesgos'!$P$12),"")</f>
        <v/>
      </c>
      <c r="AD26" s="5" t="str">
        <f>IF(AND('Mapa de Riesgos'!$Z$13="Media",'Mapa de Riesgos'!$AB$13="Mayor"),CONCATENATE("R1C",'Mapa de Riesgos'!$P$13),"")</f>
        <v/>
      </c>
      <c r="AE26" s="5" t="str">
        <f>IF(AND('Mapa de Riesgos'!$Z$14="Media",'Mapa de Riesgos'!$AB$14="Mayor"),CONCATENATE("R1C",'Mapa de Riesgos'!$P$14),"")</f>
        <v/>
      </c>
      <c r="AF26" s="5" t="str">
        <f>IF(AND('Mapa de Riesgos'!$Z$15="Media",'Mapa de Riesgos'!$AB$15="Mayor"),CONCATENATE("R1C",'Mapa de Riesgos'!$P$15),"")</f>
        <v/>
      </c>
      <c r="AG26" s="6" t="str">
        <f>IF(AND('Mapa de Riesgos'!$Z$16="Media",'Mapa de Riesgos'!$AB$16="Mayor"),CONCATENATE("R1C",'Mapa de Riesgos'!$P$16),"")</f>
        <v/>
      </c>
      <c r="AH26" s="7" t="str">
        <f>IF(AND('Mapa de Riesgos'!$Z$11="Media",'Mapa de Riesgos'!$AB$11="Catastrófico"),CONCATENATE("R1C",'Mapa de Riesgos'!$P$11),"")</f>
        <v/>
      </c>
      <c r="AI26" s="8" t="str">
        <f>IF(AND('Mapa de Riesgos'!$Z$12="Media",'Mapa de Riesgos'!$AB$12="Catastrófico"),CONCATENATE("R1C",'Mapa de Riesgos'!$P$12),"")</f>
        <v/>
      </c>
      <c r="AJ26" s="8" t="str">
        <f>IF(AND('Mapa de Riesgos'!$Z$13="Media",'Mapa de Riesgos'!$AB$13="Catastrófico"),CONCATENATE("R1C",'Mapa de Riesgos'!$P$13),"")</f>
        <v/>
      </c>
      <c r="AK26" s="8" t="str">
        <f>IF(AND('Mapa de Riesgos'!$Z$14="Media",'Mapa de Riesgos'!$AB$14="Catastrófico"),CONCATENATE("R1C",'Mapa de Riesgos'!$P$14),"")</f>
        <v/>
      </c>
      <c r="AL26" s="8" t="str">
        <f>IF(AND('Mapa de Riesgos'!$Z$15="Media",'Mapa de Riesgos'!$AB$15="Catastrófico"),CONCATENATE("R1C",'Mapa de Riesgos'!$P$15),"")</f>
        <v/>
      </c>
      <c r="AM26" s="9" t="str">
        <f>IF(AND('Mapa de Riesgos'!$Z$16="Media",'Mapa de Riesgos'!$AB$16="Catastrófico"),CONCATENATE("R1C",'Mapa de Riesgos'!$P$16),"")</f>
        <v/>
      </c>
      <c r="AN26" s="41"/>
      <c r="AO26" s="465" t="s">
        <v>116</v>
      </c>
      <c r="AP26" s="466"/>
      <c r="AQ26" s="466"/>
      <c r="AR26" s="466"/>
      <c r="AS26" s="466"/>
      <c r="AT26" s="467"/>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row>
    <row r="27" spans="1:76" ht="15" customHeight="1" x14ac:dyDescent="0.25">
      <c r="A27" s="41"/>
      <c r="B27" s="340"/>
      <c r="C27" s="340"/>
      <c r="D27" s="341"/>
      <c r="E27" s="437"/>
      <c r="F27" s="438"/>
      <c r="G27" s="438"/>
      <c r="H27" s="438"/>
      <c r="I27" s="454"/>
      <c r="J27" s="25" t="str">
        <f>IF(AND('Mapa de Riesgos'!$Z$29="Media",'Mapa de Riesgos'!$AB$29="Leve"),CONCATENATE("R2C",'Mapa de Riesgos'!$P$29),"")</f>
        <v/>
      </c>
      <c r="K27" s="26" t="str">
        <f>IF(AND('Mapa de Riesgos'!$Z$30="Media",'Mapa de Riesgos'!$AB$30="Leve"),CONCATENATE("R2C",'Mapa de Riesgos'!$P$30),"")</f>
        <v/>
      </c>
      <c r="L27" s="26" t="str">
        <f>IF(AND('Mapa de Riesgos'!$Z$31="Media",'Mapa de Riesgos'!$AB$31="Leve"),CONCATENATE("R2C",'Mapa de Riesgos'!$P$31),"")</f>
        <v/>
      </c>
      <c r="M27" s="26" t="str">
        <f>IF(AND('Mapa de Riesgos'!$Z$32="Media",'Mapa de Riesgos'!$AB$32="Leve"),CONCATENATE("R2C",'Mapa de Riesgos'!$P$32),"")</f>
        <v/>
      </c>
      <c r="N27" s="26" t="str">
        <f>IF(AND('Mapa de Riesgos'!$Z$33="Media",'Mapa de Riesgos'!$AB$33="Leve"),CONCATENATE("R2C",'Mapa de Riesgos'!$P$33),"")</f>
        <v/>
      </c>
      <c r="O27" s="27" t="str">
        <f>IF(AND('Mapa de Riesgos'!$Z$34="Media",'Mapa de Riesgos'!$AB$34="Leve"),CONCATENATE("R2C",'Mapa de Riesgos'!$P$34),"")</f>
        <v/>
      </c>
      <c r="P27" s="25" t="str">
        <f>IF(AND('Mapa de Riesgos'!$Z$29="Media",'Mapa de Riesgos'!$AB$29="Menor"),CONCATENATE("R2C",'Mapa de Riesgos'!$P$29),"")</f>
        <v/>
      </c>
      <c r="Q27" s="26" t="str">
        <f>IF(AND('Mapa de Riesgos'!$Z$30="Media",'Mapa de Riesgos'!$AB$30="Menor"),CONCATENATE("R2C",'Mapa de Riesgos'!$P$30),"")</f>
        <v/>
      </c>
      <c r="R27" s="26" t="str">
        <f>IF(AND('Mapa de Riesgos'!$Z$31="Media",'Mapa de Riesgos'!$AB$31="Menor"),CONCATENATE("R2C",'Mapa de Riesgos'!$P$31),"")</f>
        <v/>
      </c>
      <c r="S27" s="26" t="str">
        <f>IF(AND('Mapa de Riesgos'!$Z$32="Media",'Mapa de Riesgos'!$AB$32="Menor"),CONCATENATE("R2C",'Mapa de Riesgos'!$P$32),"")</f>
        <v/>
      </c>
      <c r="T27" s="26" t="str">
        <f>IF(AND('Mapa de Riesgos'!$Z$33="Media",'Mapa de Riesgos'!$AB$33="Menor"),CONCATENATE("R2C",'Mapa de Riesgos'!$P$33),"")</f>
        <v/>
      </c>
      <c r="U27" s="27" t="str">
        <f>IF(AND('Mapa de Riesgos'!$Z$34="Media",'Mapa de Riesgos'!$AB$34="Menor"),CONCATENATE("R2C",'Mapa de Riesgos'!$P$34),"")</f>
        <v/>
      </c>
      <c r="V27" s="25" t="str">
        <f>IF(AND('Mapa de Riesgos'!$Z$29="Media",'Mapa de Riesgos'!$AB$29="Moderado"),CONCATENATE("R2C",'Mapa de Riesgos'!$P$29),"")</f>
        <v/>
      </c>
      <c r="W27" s="26" t="str">
        <f>IF(AND('Mapa de Riesgos'!$Z$30="Media",'Mapa de Riesgos'!$AB$30="Moderado"),CONCATENATE("R2C",'Mapa de Riesgos'!$P$30),"")</f>
        <v/>
      </c>
      <c r="X27" s="26" t="str">
        <f>IF(AND('Mapa de Riesgos'!$Z$31="Media",'Mapa de Riesgos'!$AB$31="Moderado"),CONCATENATE("R2C",'Mapa de Riesgos'!$P$31),"")</f>
        <v/>
      </c>
      <c r="Y27" s="26" t="str">
        <f>IF(AND('Mapa de Riesgos'!$Z$32="Media",'Mapa de Riesgos'!$AB$32="Moderado"),CONCATENATE("R2C",'Mapa de Riesgos'!$P$32),"")</f>
        <v/>
      </c>
      <c r="Z27" s="26" t="str">
        <f>IF(AND('Mapa de Riesgos'!$Z$33="Media",'Mapa de Riesgos'!$AB$33="Moderado"),CONCATENATE("R2C",'Mapa de Riesgos'!$P$33),"")</f>
        <v/>
      </c>
      <c r="AA27" s="27" t="str">
        <f>IF(AND('Mapa de Riesgos'!$Z$34="Media",'Mapa de Riesgos'!$AB$34="Moderado"),CONCATENATE("R2C",'Mapa de Riesgos'!$P$34),"")</f>
        <v/>
      </c>
      <c r="AB27" s="10" t="str">
        <f>IF(AND('Mapa de Riesgos'!$Z$29="Media",'Mapa de Riesgos'!$AB$29="Mayor"),CONCATENATE("R2C",'Mapa de Riesgos'!$P$29),"")</f>
        <v/>
      </c>
      <c r="AC27" s="11" t="str">
        <f>IF(AND('Mapa de Riesgos'!$Z$30="Media",'Mapa de Riesgos'!$AB$30="Mayor"),CONCATENATE("R2C",'Mapa de Riesgos'!$P$30),"")</f>
        <v/>
      </c>
      <c r="AD27" s="11" t="str">
        <f>IF(AND('Mapa de Riesgos'!$Z$31="Media",'Mapa de Riesgos'!$AB$31="Mayor"),CONCATENATE("R2C",'Mapa de Riesgos'!$P$31),"")</f>
        <v/>
      </c>
      <c r="AE27" s="11" t="str">
        <f>IF(AND('Mapa de Riesgos'!$Z$32="Media",'Mapa de Riesgos'!$AB$32="Mayor"),CONCATENATE("R2C",'Mapa de Riesgos'!$P$32),"")</f>
        <v/>
      </c>
      <c r="AF27" s="11" t="str">
        <f>IF(AND('Mapa de Riesgos'!$Z$33="Media",'Mapa de Riesgos'!$AB$33="Mayor"),CONCATENATE("R2C",'Mapa de Riesgos'!$P$33),"")</f>
        <v/>
      </c>
      <c r="AG27" s="12" t="str">
        <f>IF(AND('Mapa de Riesgos'!$Z$34="Media",'Mapa de Riesgos'!$AB$34="Mayor"),CONCATENATE("R2C",'Mapa de Riesgos'!$P$34),"")</f>
        <v/>
      </c>
      <c r="AH27" s="13" t="str">
        <f>IF(AND('Mapa de Riesgos'!$Z$29="Media",'Mapa de Riesgos'!$AB$29="Catastrófico"),CONCATENATE("R2C",'Mapa de Riesgos'!$P$29),"")</f>
        <v/>
      </c>
      <c r="AI27" s="14" t="str">
        <f>IF(AND('Mapa de Riesgos'!$Z$30="Media",'Mapa de Riesgos'!$AB$30="Catastrófico"),CONCATENATE("R2C",'Mapa de Riesgos'!$P$30),"")</f>
        <v/>
      </c>
      <c r="AJ27" s="14" t="str">
        <f>IF(AND('Mapa de Riesgos'!$Z$31="Media",'Mapa de Riesgos'!$AB$31="Catastrófico"),CONCATENATE("R2C",'Mapa de Riesgos'!$P$31),"")</f>
        <v/>
      </c>
      <c r="AK27" s="14" t="str">
        <f>IF(AND('Mapa de Riesgos'!$Z$32="Media",'Mapa de Riesgos'!$AB$32="Catastrófico"),CONCATENATE("R2C",'Mapa de Riesgos'!$P$32),"")</f>
        <v/>
      </c>
      <c r="AL27" s="14" t="str">
        <f>IF(AND('Mapa de Riesgos'!$Z$33="Media",'Mapa de Riesgos'!$AB$33="Catastrófico"),CONCATENATE("R2C",'Mapa de Riesgos'!$P$33),"")</f>
        <v/>
      </c>
      <c r="AM27" s="15" t="str">
        <f>IF(AND('Mapa de Riesgos'!$Z$34="Media",'Mapa de Riesgos'!$AB$34="Catastrófico"),CONCATENATE("R2C",'Mapa de Riesgos'!$P$34),"")</f>
        <v/>
      </c>
      <c r="AN27" s="41"/>
      <c r="AO27" s="468"/>
      <c r="AP27" s="469"/>
      <c r="AQ27" s="469"/>
      <c r="AR27" s="469"/>
      <c r="AS27" s="469"/>
      <c r="AT27" s="470"/>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row>
    <row r="28" spans="1:76" ht="15" customHeight="1" x14ac:dyDescent="0.25">
      <c r="A28" s="41"/>
      <c r="B28" s="340"/>
      <c r="C28" s="340"/>
      <c r="D28" s="341"/>
      <c r="E28" s="439"/>
      <c r="F28" s="438"/>
      <c r="G28" s="438"/>
      <c r="H28" s="438"/>
      <c r="I28" s="454"/>
      <c r="J28" s="25" t="str">
        <f>IF(AND('Mapa de Riesgos'!$Z$35="Media",'Mapa de Riesgos'!$AB$35="Leve"),CONCATENATE("R3C",'Mapa de Riesgos'!$P$35),"")</f>
        <v/>
      </c>
      <c r="K28" s="26" t="str">
        <f>IF(AND('Mapa de Riesgos'!$Z$36="Media",'Mapa de Riesgos'!$AB$36="Leve"),CONCATENATE("R3C",'Mapa de Riesgos'!$P$36),"")</f>
        <v/>
      </c>
      <c r="L28" s="26" t="str">
        <f>IF(AND('Mapa de Riesgos'!$Z$37="Media",'Mapa de Riesgos'!$AB$37="Leve"),CONCATENATE("R3C",'Mapa de Riesgos'!$P$37),"")</f>
        <v/>
      </c>
      <c r="M28" s="26" t="str">
        <f>IF(AND('Mapa de Riesgos'!$Z$38="Media",'Mapa de Riesgos'!$AB$38="Leve"),CONCATENATE("R3C",'Mapa de Riesgos'!$P$38),"")</f>
        <v/>
      </c>
      <c r="N28" s="26" t="str">
        <f>IF(AND('Mapa de Riesgos'!$Z$39="Media",'Mapa de Riesgos'!$AB$39="Leve"),CONCATENATE("R3C",'Mapa de Riesgos'!$P$39),"")</f>
        <v/>
      </c>
      <c r="O28" s="27" t="str">
        <f>IF(AND('Mapa de Riesgos'!$Z$40="Media",'Mapa de Riesgos'!$AB$40="Leve"),CONCATENATE("R3C",'Mapa de Riesgos'!$P$40),"")</f>
        <v/>
      </c>
      <c r="P28" s="25" t="str">
        <f>IF(AND('Mapa de Riesgos'!$Z$35="Media",'Mapa de Riesgos'!$AB$35="Menor"),CONCATENATE("R3C",'Mapa de Riesgos'!$P$35),"")</f>
        <v/>
      </c>
      <c r="Q28" s="26" t="str">
        <f>IF(AND('Mapa de Riesgos'!$Z$36="Media",'Mapa de Riesgos'!$AB$36="Menor"),CONCATENATE("R3C",'Mapa de Riesgos'!$P$36),"")</f>
        <v/>
      </c>
      <c r="R28" s="26" t="str">
        <f>IF(AND('Mapa de Riesgos'!$Z$37="Media",'Mapa de Riesgos'!$AB$37="Menor"),CONCATENATE("R3C",'Mapa de Riesgos'!$P$37),"")</f>
        <v/>
      </c>
      <c r="S28" s="26" t="str">
        <f>IF(AND('Mapa de Riesgos'!$Z$38="Media",'Mapa de Riesgos'!$AB$38="Menor"),CONCATENATE("R3C",'Mapa de Riesgos'!$P$38),"")</f>
        <v/>
      </c>
      <c r="T28" s="26" t="str">
        <f>IF(AND('Mapa de Riesgos'!$Z$39="Media",'Mapa de Riesgos'!$AB$39="Menor"),CONCATENATE("R3C",'Mapa de Riesgos'!$P$39),"")</f>
        <v/>
      </c>
      <c r="U28" s="27" t="str">
        <f>IF(AND('Mapa de Riesgos'!$Z$40="Media",'Mapa de Riesgos'!$AB$40="Menor"),CONCATENATE("R3C",'Mapa de Riesgos'!$P$40),"")</f>
        <v/>
      </c>
      <c r="V28" s="25" t="str">
        <f>IF(AND('Mapa de Riesgos'!$Z$35="Media",'Mapa de Riesgos'!$AB$35="Moderado"),CONCATENATE("R3C",'Mapa de Riesgos'!$P$35),"")</f>
        <v/>
      </c>
      <c r="W28" s="26" t="str">
        <f>IF(AND('Mapa de Riesgos'!$Z$36="Media",'Mapa de Riesgos'!$AB$36="Moderado"),CONCATENATE("R3C",'Mapa de Riesgos'!$P$36),"")</f>
        <v/>
      </c>
      <c r="X28" s="26" t="str">
        <f>IF(AND('Mapa de Riesgos'!$Z$37="Media",'Mapa de Riesgos'!$AB$37="Moderado"),CONCATENATE("R3C",'Mapa de Riesgos'!$P$37),"")</f>
        <v/>
      </c>
      <c r="Y28" s="26" t="str">
        <f>IF(AND('Mapa de Riesgos'!$Z$38="Media",'Mapa de Riesgos'!$AB$38="Moderado"),CONCATENATE("R3C",'Mapa de Riesgos'!$P$38),"")</f>
        <v/>
      </c>
      <c r="Z28" s="26" t="str">
        <f>IF(AND('Mapa de Riesgos'!$Z$39="Media",'Mapa de Riesgos'!$AB$39="Moderado"),CONCATENATE("R3C",'Mapa de Riesgos'!$P$39),"")</f>
        <v/>
      </c>
      <c r="AA28" s="27" t="str">
        <f>IF(AND('Mapa de Riesgos'!$Z$40="Media",'Mapa de Riesgos'!$AB$40="Moderado"),CONCATENATE("R3C",'Mapa de Riesgos'!$P$40),"")</f>
        <v/>
      </c>
      <c r="AB28" s="10" t="str">
        <f>IF(AND('Mapa de Riesgos'!$Z$35="Media",'Mapa de Riesgos'!$AB$35="Mayor"),CONCATENATE("R3C",'Mapa de Riesgos'!$P$35),"")</f>
        <v/>
      </c>
      <c r="AC28" s="11" t="str">
        <f>IF(AND('Mapa de Riesgos'!$Z$36="Media",'Mapa de Riesgos'!$AB$36="Mayor"),CONCATENATE("R3C",'Mapa de Riesgos'!$P$36),"")</f>
        <v/>
      </c>
      <c r="AD28" s="11" t="str">
        <f>IF(AND('Mapa de Riesgos'!$Z$37="Media",'Mapa de Riesgos'!$AB$37="Mayor"),CONCATENATE("R3C",'Mapa de Riesgos'!$P$37),"")</f>
        <v/>
      </c>
      <c r="AE28" s="11" t="str">
        <f>IF(AND('Mapa de Riesgos'!$Z$38="Media",'Mapa de Riesgos'!$AB$38="Mayor"),CONCATENATE("R3C",'Mapa de Riesgos'!$P$38),"")</f>
        <v/>
      </c>
      <c r="AF28" s="11" t="str">
        <f>IF(AND('Mapa de Riesgos'!$Z$39="Media",'Mapa de Riesgos'!$AB$39="Mayor"),CONCATENATE("R3C",'Mapa de Riesgos'!$P$39),"")</f>
        <v/>
      </c>
      <c r="AG28" s="12" t="str">
        <f>IF(AND('Mapa de Riesgos'!$Z$40="Media",'Mapa de Riesgos'!$AB$40="Mayor"),CONCATENATE("R3C",'Mapa de Riesgos'!$P$40),"")</f>
        <v/>
      </c>
      <c r="AH28" s="13" t="str">
        <f>IF(AND('Mapa de Riesgos'!$Z$35="Media",'Mapa de Riesgos'!$AB$35="Catastrófico"),CONCATENATE("R3C",'Mapa de Riesgos'!$P$35),"")</f>
        <v/>
      </c>
      <c r="AI28" s="14" t="str">
        <f>IF(AND('Mapa de Riesgos'!$Z$36="Media",'Mapa de Riesgos'!$AB$36="Catastrófico"),CONCATENATE("R3C",'Mapa de Riesgos'!$P$36),"")</f>
        <v/>
      </c>
      <c r="AJ28" s="14" t="str">
        <f>IF(AND('Mapa de Riesgos'!$Z$37="Media",'Mapa de Riesgos'!$AB$37="Catastrófico"),CONCATENATE("R3C",'Mapa de Riesgos'!$P$37),"")</f>
        <v/>
      </c>
      <c r="AK28" s="14" t="str">
        <f>IF(AND('Mapa de Riesgos'!$Z$38="Media",'Mapa de Riesgos'!$AB$38="Catastrófico"),CONCATENATE("R3C",'Mapa de Riesgos'!$P$38),"")</f>
        <v/>
      </c>
      <c r="AL28" s="14" t="str">
        <f>IF(AND('Mapa de Riesgos'!$Z$39="Media",'Mapa de Riesgos'!$AB$39="Catastrófico"),CONCATENATE("R3C",'Mapa de Riesgos'!$P$39),"")</f>
        <v/>
      </c>
      <c r="AM28" s="15" t="str">
        <f>IF(AND('Mapa de Riesgos'!$Z$40="Media",'Mapa de Riesgos'!$AB$40="Catastrófico"),CONCATENATE("R3C",'Mapa de Riesgos'!$P$40),"")</f>
        <v/>
      </c>
      <c r="AN28" s="41"/>
      <c r="AO28" s="468"/>
      <c r="AP28" s="469"/>
      <c r="AQ28" s="469"/>
      <c r="AR28" s="469"/>
      <c r="AS28" s="469"/>
      <c r="AT28" s="470"/>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row>
    <row r="29" spans="1:76" ht="15" customHeight="1" x14ac:dyDescent="0.25">
      <c r="A29" s="41"/>
      <c r="B29" s="340"/>
      <c r="C29" s="340"/>
      <c r="D29" s="341"/>
      <c r="E29" s="439"/>
      <c r="F29" s="438"/>
      <c r="G29" s="438"/>
      <c r="H29" s="438"/>
      <c r="I29" s="454"/>
      <c r="J29" s="25" t="str">
        <f>IF(AND('Mapa de Riesgos'!$Z$47="Media",'Mapa de Riesgos'!$AB$47="Leve"),CONCATENATE("R4C",'Mapa de Riesgos'!$P$47),"")</f>
        <v/>
      </c>
      <c r="K29" s="26" t="str">
        <f>IF(AND('Mapa de Riesgos'!$Z$48="Media",'Mapa de Riesgos'!$AB$48="Leve"),CONCATENATE("R4C",'Mapa de Riesgos'!$P$48),"")</f>
        <v/>
      </c>
      <c r="L29" s="26" t="str">
        <f>IF(AND('Mapa de Riesgos'!$Z$49="Media",'Mapa de Riesgos'!$AB$49="Leve"),CONCATENATE("R4C",'Mapa de Riesgos'!$P$49),"")</f>
        <v/>
      </c>
      <c r="M29" s="26" t="str">
        <f>IF(AND('Mapa de Riesgos'!$Z$50="Media",'Mapa de Riesgos'!$AB$50="Leve"),CONCATENATE("R4C",'Mapa de Riesgos'!$P$50),"")</f>
        <v/>
      </c>
      <c r="N29" s="26" t="str">
        <f>IF(AND('Mapa de Riesgos'!$Z$51="Media",'Mapa de Riesgos'!$AB$51="Leve"),CONCATENATE("R4C",'Mapa de Riesgos'!$P$51),"")</f>
        <v/>
      </c>
      <c r="O29" s="27" t="str">
        <f>IF(AND('Mapa de Riesgos'!$Z$52="Media",'Mapa de Riesgos'!$AB$52="Leve"),CONCATENATE("R4C",'Mapa de Riesgos'!$P$52),"")</f>
        <v/>
      </c>
      <c r="P29" s="25" t="str">
        <f>IF(AND('Mapa de Riesgos'!$Z$47="Media",'Mapa de Riesgos'!$AB$47="Menor"),CONCATENATE("R4C",'Mapa de Riesgos'!$P$47),"")</f>
        <v/>
      </c>
      <c r="Q29" s="26" t="str">
        <f>IF(AND('Mapa de Riesgos'!$Z$48="Media",'Mapa de Riesgos'!$AB$48="Menor"),CONCATENATE("R4C",'Mapa de Riesgos'!$P$48),"")</f>
        <v/>
      </c>
      <c r="R29" s="26" t="str">
        <f>IF(AND('Mapa de Riesgos'!$Z$49="Media",'Mapa de Riesgos'!$AB$49="Menor"),CONCATENATE("R4C",'Mapa de Riesgos'!$P$49),"")</f>
        <v/>
      </c>
      <c r="S29" s="26" t="str">
        <f>IF(AND('Mapa de Riesgos'!$Z$50="Media",'Mapa de Riesgos'!$AB$50="Menor"),CONCATENATE("R4C",'Mapa de Riesgos'!$P$50),"")</f>
        <v/>
      </c>
      <c r="T29" s="26" t="str">
        <f>IF(AND('Mapa de Riesgos'!$Z$51="Media",'Mapa de Riesgos'!$AB$51="Menor"),CONCATENATE("R4C",'Mapa de Riesgos'!$P$51),"")</f>
        <v/>
      </c>
      <c r="U29" s="27" t="str">
        <f>IF(AND('Mapa de Riesgos'!$Z$52="Media",'Mapa de Riesgos'!$AB$52="Menor"),CONCATENATE("R4C",'Mapa de Riesgos'!$P$52),"")</f>
        <v/>
      </c>
      <c r="V29" s="25" t="str">
        <f>IF(AND('Mapa de Riesgos'!$Z$47="Media",'Mapa de Riesgos'!$AB$47="Moderado"),CONCATENATE("R4C",'Mapa de Riesgos'!$P$47),"")</f>
        <v/>
      </c>
      <c r="W29" s="26" t="str">
        <f>IF(AND('Mapa de Riesgos'!$Z$48="Media",'Mapa de Riesgos'!$AB$48="Moderado"),CONCATENATE("R4C",'Mapa de Riesgos'!$P$48),"")</f>
        <v/>
      </c>
      <c r="X29" s="26" t="str">
        <f>IF(AND('Mapa de Riesgos'!$Z$49="Media",'Mapa de Riesgos'!$AB$49="Moderado"),CONCATENATE("R4C",'Mapa de Riesgos'!$P$49),"")</f>
        <v/>
      </c>
      <c r="Y29" s="26" t="str">
        <f>IF(AND('Mapa de Riesgos'!$Z$50="Media",'Mapa de Riesgos'!$AB$50="Moderado"),CONCATENATE("R4C",'Mapa de Riesgos'!$P$50),"")</f>
        <v/>
      </c>
      <c r="Z29" s="26" t="str">
        <f>IF(AND('Mapa de Riesgos'!$Z$51="Media",'Mapa de Riesgos'!$AB$51="Moderado"),CONCATENATE("R4C",'Mapa de Riesgos'!$P$51),"")</f>
        <v/>
      </c>
      <c r="AA29" s="27" t="str">
        <f>IF(AND('Mapa de Riesgos'!$Z$52="Media",'Mapa de Riesgos'!$AB$52="Moderado"),CONCATENATE("R4C",'Mapa de Riesgos'!$P$52),"")</f>
        <v/>
      </c>
      <c r="AB29" s="10" t="str">
        <f>IF(AND('Mapa de Riesgos'!$Z$47="Media",'Mapa de Riesgos'!$AB$47="Mayor"),CONCATENATE("R4C",'Mapa de Riesgos'!$P$47),"")</f>
        <v/>
      </c>
      <c r="AC29" s="11" t="str">
        <f>IF(AND('Mapa de Riesgos'!$Z$48="Media",'Mapa de Riesgos'!$AB$48="Mayor"),CONCATENATE("R4C",'Mapa de Riesgos'!$P$48),"")</f>
        <v/>
      </c>
      <c r="AD29" s="11" t="str">
        <f>IF(AND('Mapa de Riesgos'!$Z$49="Media",'Mapa de Riesgos'!$AB$49="Mayor"),CONCATENATE("R4C",'Mapa de Riesgos'!$P$49),"")</f>
        <v/>
      </c>
      <c r="AE29" s="11" t="str">
        <f>IF(AND('Mapa de Riesgos'!$Z$50="Media",'Mapa de Riesgos'!$AB$50="Mayor"),CONCATENATE("R4C",'Mapa de Riesgos'!$P$50),"")</f>
        <v/>
      </c>
      <c r="AF29" s="11" t="str">
        <f>IF(AND('Mapa de Riesgos'!$Z$51="Media",'Mapa de Riesgos'!$AB$51="Mayor"),CONCATENATE("R4C",'Mapa de Riesgos'!$P$51),"")</f>
        <v/>
      </c>
      <c r="AG29" s="12" t="str">
        <f>IF(AND('Mapa de Riesgos'!$Z$52="Media",'Mapa de Riesgos'!$AB$52="Mayor"),CONCATENATE("R4C",'Mapa de Riesgos'!$P$52),"")</f>
        <v/>
      </c>
      <c r="AH29" s="13" t="str">
        <f>IF(AND('Mapa de Riesgos'!$Z$47="Media",'Mapa de Riesgos'!$AB$47="Catastrófico"),CONCATENATE("R4C",'Mapa de Riesgos'!$P$47),"")</f>
        <v/>
      </c>
      <c r="AI29" s="14" t="str">
        <f>IF(AND('Mapa de Riesgos'!$Z$48="Media",'Mapa de Riesgos'!$AB$48="Catastrófico"),CONCATENATE("R4C",'Mapa de Riesgos'!$P$48),"")</f>
        <v/>
      </c>
      <c r="AJ29" s="14" t="str">
        <f>IF(AND('Mapa de Riesgos'!$Z$49="Media",'Mapa de Riesgos'!$AB$49="Catastrófico"),CONCATENATE("R4C",'Mapa de Riesgos'!$P$49),"")</f>
        <v/>
      </c>
      <c r="AK29" s="14" t="str">
        <f>IF(AND('Mapa de Riesgos'!$Z$50="Media",'Mapa de Riesgos'!$AB$50="Catastrófico"),CONCATENATE("R4C",'Mapa de Riesgos'!$P$50),"")</f>
        <v/>
      </c>
      <c r="AL29" s="14" t="str">
        <f>IF(AND('Mapa de Riesgos'!$Z$51="Media",'Mapa de Riesgos'!$AB$51="Catastrófico"),CONCATENATE("R4C",'Mapa de Riesgos'!$P$51),"")</f>
        <v/>
      </c>
      <c r="AM29" s="15" t="str">
        <f>IF(AND('Mapa de Riesgos'!$Z$52="Media",'Mapa de Riesgos'!$AB$52="Catastrófico"),CONCATENATE("R4C",'Mapa de Riesgos'!$P$52),"")</f>
        <v/>
      </c>
      <c r="AN29" s="41"/>
      <c r="AO29" s="468"/>
      <c r="AP29" s="469"/>
      <c r="AQ29" s="469"/>
      <c r="AR29" s="469"/>
      <c r="AS29" s="469"/>
      <c r="AT29" s="470"/>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row>
    <row r="30" spans="1:76" ht="15" customHeight="1" x14ac:dyDescent="0.25">
      <c r="A30" s="41"/>
      <c r="B30" s="340"/>
      <c r="C30" s="340"/>
      <c r="D30" s="341"/>
      <c r="E30" s="439"/>
      <c r="F30" s="438"/>
      <c r="G30" s="438"/>
      <c r="H30" s="438"/>
      <c r="I30" s="454"/>
      <c r="J30" s="25" t="e">
        <f>IF(AND('Mapa de Riesgos'!#REF!="Media",'Mapa de Riesgos'!#REF!="Leve"),CONCATENATE("R5C",'Mapa de Riesgos'!#REF!),"")</f>
        <v>#REF!</v>
      </c>
      <c r="K30" s="26" t="e">
        <f>IF(AND('Mapa de Riesgos'!#REF!="Media",'Mapa de Riesgos'!#REF!="Leve"),CONCATENATE("R5C",'Mapa de Riesgos'!#REF!),"")</f>
        <v>#REF!</v>
      </c>
      <c r="L30" s="26" t="e">
        <f>IF(AND('Mapa de Riesgos'!#REF!="Media",'Mapa de Riesgos'!#REF!="Leve"),CONCATENATE("R5C",'Mapa de Riesgos'!#REF!),"")</f>
        <v>#REF!</v>
      </c>
      <c r="M30" s="26" t="e">
        <f>IF(AND('Mapa de Riesgos'!#REF!="Media",'Mapa de Riesgos'!#REF!="Leve"),CONCATENATE("R5C",'Mapa de Riesgos'!#REF!),"")</f>
        <v>#REF!</v>
      </c>
      <c r="N30" s="26" t="e">
        <f>IF(AND('Mapa de Riesgos'!#REF!="Media",'Mapa de Riesgos'!#REF!="Leve"),CONCATENATE("R5C",'Mapa de Riesgos'!#REF!),"")</f>
        <v>#REF!</v>
      </c>
      <c r="O30" s="27" t="e">
        <f>IF(AND('Mapa de Riesgos'!#REF!="Media",'Mapa de Riesgos'!#REF!="Leve"),CONCATENATE("R5C",'Mapa de Riesgos'!#REF!),"")</f>
        <v>#REF!</v>
      </c>
      <c r="P30" s="25" t="e">
        <f>IF(AND('Mapa de Riesgos'!#REF!="Media",'Mapa de Riesgos'!#REF!="Menor"),CONCATENATE("R5C",'Mapa de Riesgos'!#REF!),"")</f>
        <v>#REF!</v>
      </c>
      <c r="Q30" s="26" t="e">
        <f>IF(AND('Mapa de Riesgos'!#REF!="Media",'Mapa de Riesgos'!#REF!="Menor"),CONCATENATE("R5C",'Mapa de Riesgos'!#REF!),"")</f>
        <v>#REF!</v>
      </c>
      <c r="R30" s="26" t="e">
        <f>IF(AND('Mapa de Riesgos'!#REF!="Media",'Mapa de Riesgos'!#REF!="Menor"),CONCATENATE("R5C",'Mapa de Riesgos'!#REF!),"")</f>
        <v>#REF!</v>
      </c>
      <c r="S30" s="26" t="e">
        <f>IF(AND('Mapa de Riesgos'!#REF!="Media",'Mapa de Riesgos'!#REF!="Menor"),CONCATENATE("R5C",'Mapa de Riesgos'!#REF!),"")</f>
        <v>#REF!</v>
      </c>
      <c r="T30" s="26" t="e">
        <f>IF(AND('Mapa de Riesgos'!#REF!="Media",'Mapa de Riesgos'!#REF!="Menor"),CONCATENATE("R5C",'Mapa de Riesgos'!#REF!),"")</f>
        <v>#REF!</v>
      </c>
      <c r="U30" s="27" t="e">
        <f>IF(AND('Mapa de Riesgos'!#REF!="Media",'Mapa de Riesgos'!#REF!="Menor"),CONCATENATE("R5C",'Mapa de Riesgos'!#REF!),"")</f>
        <v>#REF!</v>
      </c>
      <c r="V30" s="25" t="e">
        <f>IF(AND('Mapa de Riesgos'!#REF!="Media",'Mapa de Riesgos'!#REF!="Moderado"),CONCATENATE("R5C",'Mapa de Riesgos'!#REF!),"")</f>
        <v>#REF!</v>
      </c>
      <c r="W30" s="26" t="e">
        <f>IF(AND('Mapa de Riesgos'!#REF!="Media",'Mapa de Riesgos'!#REF!="Moderado"),CONCATENATE("R5C",'Mapa de Riesgos'!#REF!),"")</f>
        <v>#REF!</v>
      </c>
      <c r="X30" s="26" t="e">
        <f>IF(AND('Mapa de Riesgos'!#REF!="Media",'Mapa de Riesgos'!#REF!="Moderado"),CONCATENATE("R5C",'Mapa de Riesgos'!#REF!),"")</f>
        <v>#REF!</v>
      </c>
      <c r="Y30" s="26" t="e">
        <f>IF(AND('Mapa de Riesgos'!#REF!="Media",'Mapa de Riesgos'!#REF!="Moderado"),CONCATENATE("R5C",'Mapa de Riesgos'!#REF!),"")</f>
        <v>#REF!</v>
      </c>
      <c r="Z30" s="26" t="e">
        <f>IF(AND('Mapa de Riesgos'!#REF!="Media",'Mapa de Riesgos'!#REF!="Moderado"),CONCATENATE("R5C",'Mapa de Riesgos'!#REF!),"")</f>
        <v>#REF!</v>
      </c>
      <c r="AA30" s="27" t="e">
        <f>IF(AND('Mapa de Riesgos'!#REF!="Media",'Mapa de Riesgos'!#REF!="Moderado"),CONCATENATE("R5C",'Mapa de Riesgos'!#REF!),"")</f>
        <v>#REF!</v>
      </c>
      <c r="AB30" s="10" t="e">
        <f>IF(AND('Mapa de Riesgos'!#REF!="Media",'Mapa de Riesgos'!#REF!="Mayor"),CONCATENATE("R5C",'Mapa de Riesgos'!#REF!),"")</f>
        <v>#REF!</v>
      </c>
      <c r="AC30" s="11" t="e">
        <f>IF(AND('Mapa de Riesgos'!#REF!="Media",'Mapa de Riesgos'!#REF!="Mayor"),CONCATENATE("R5C",'Mapa de Riesgos'!#REF!),"")</f>
        <v>#REF!</v>
      </c>
      <c r="AD30" s="11" t="e">
        <f>IF(AND('Mapa de Riesgos'!#REF!="Media",'Mapa de Riesgos'!#REF!="Mayor"),CONCATENATE("R5C",'Mapa de Riesgos'!#REF!),"")</f>
        <v>#REF!</v>
      </c>
      <c r="AE30" s="11" t="e">
        <f>IF(AND('Mapa de Riesgos'!#REF!="Media",'Mapa de Riesgos'!#REF!="Mayor"),CONCATENATE("R5C",'Mapa de Riesgos'!#REF!),"")</f>
        <v>#REF!</v>
      </c>
      <c r="AF30" s="11" t="e">
        <f>IF(AND('Mapa de Riesgos'!#REF!="Media",'Mapa de Riesgos'!#REF!="Mayor"),CONCATENATE("R5C",'Mapa de Riesgos'!#REF!),"")</f>
        <v>#REF!</v>
      </c>
      <c r="AG30" s="12" t="e">
        <f>IF(AND('Mapa de Riesgos'!#REF!="Media",'Mapa de Riesgos'!#REF!="Mayor"),CONCATENATE("R5C",'Mapa de Riesgos'!#REF!),"")</f>
        <v>#REF!</v>
      </c>
      <c r="AH30" s="13" t="e">
        <f>IF(AND('Mapa de Riesgos'!#REF!="Media",'Mapa de Riesgos'!#REF!="Catastrófico"),CONCATENATE("R5C",'Mapa de Riesgos'!#REF!),"")</f>
        <v>#REF!</v>
      </c>
      <c r="AI30" s="14" t="e">
        <f>IF(AND('Mapa de Riesgos'!#REF!="Media",'Mapa de Riesgos'!#REF!="Catastrófico"),CONCATENATE("R5C",'Mapa de Riesgos'!#REF!),"")</f>
        <v>#REF!</v>
      </c>
      <c r="AJ30" s="14" t="e">
        <f>IF(AND('Mapa de Riesgos'!#REF!="Media",'Mapa de Riesgos'!#REF!="Catastrófico"),CONCATENATE("R5C",'Mapa de Riesgos'!#REF!),"")</f>
        <v>#REF!</v>
      </c>
      <c r="AK30" s="14" t="e">
        <f>IF(AND('Mapa de Riesgos'!#REF!="Media",'Mapa de Riesgos'!#REF!="Catastrófico"),CONCATENATE("R5C",'Mapa de Riesgos'!#REF!),"")</f>
        <v>#REF!</v>
      </c>
      <c r="AL30" s="14" t="e">
        <f>IF(AND('Mapa de Riesgos'!#REF!="Media",'Mapa de Riesgos'!#REF!="Catastrófico"),CONCATENATE("R5C",'Mapa de Riesgos'!#REF!),"")</f>
        <v>#REF!</v>
      </c>
      <c r="AM30" s="15" t="e">
        <f>IF(AND('Mapa de Riesgos'!#REF!="Media",'Mapa de Riesgos'!#REF!="Catastrófico"),CONCATENATE("R5C",'Mapa de Riesgos'!#REF!),"")</f>
        <v>#REF!</v>
      </c>
      <c r="AN30" s="41"/>
      <c r="AO30" s="468"/>
      <c r="AP30" s="469"/>
      <c r="AQ30" s="469"/>
      <c r="AR30" s="469"/>
      <c r="AS30" s="469"/>
      <c r="AT30" s="470"/>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row>
    <row r="31" spans="1:76" ht="15" customHeight="1" x14ac:dyDescent="0.25">
      <c r="A31" s="41"/>
      <c r="B31" s="340"/>
      <c r="C31" s="340"/>
      <c r="D31" s="341"/>
      <c r="E31" s="439"/>
      <c r="F31" s="438"/>
      <c r="G31" s="438"/>
      <c r="H31" s="438"/>
      <c r="I31" s="454"/>
      <c r="J31" s="25" t="str">
        <f>IF(AND('Mapa de Riesgos'!$Z$53="Media",'Mapa de Riesgos'!$AB$53="Leve"),CONCATENATE("R6C",'Mapa de Riesgos'!$P$53),"")</f>
        <v/>
      </c>
      <c r="K31" s="26" t="str">
        <f>IF(AND('Mapa de Riesgos'!$Z$54="Media",'Mapa de Riesgos'!$AB$54="Leve"),CONCATENATE("R6C",'Mapa de Riesgos'!$P$54),"")</f>
        <v/>
      </c>
      <c r="L31" s="26" t="str">
        <f>IF(AND('Mapa de Riesgos'!$Z$55="Media",'Mapa de Riesgos'!$AB$55="Leve"),CONCATENATE("R6C",'Mapa de Riesgos'!$P$55),"")</f>
        <v/>
      </c>
      <c r="M31" s="26" t="str">
        <f>IF(AND('Mapa de Riesgos'!$Z$56="Media",'Mapa de Riesgos'!$AB$56="Leve"),CONCATENATE("R6C",'Mapa de Riesgos'!$P$56),"")</f>
        <v/>
      </c>
      <c r="N31" s="26" t="str">
        <f>IF(AND('Mapa de Riesgos'!$Z$57="Media",'Mapa de Riesgos'!$AB$57="Leve"),CONCATENATE("R6C",'Mapa de Riesgos'!$P$57),"")</f>
        <v/>
      </c>
      <c r="O31" s="27" t="str">
        <f>IF(AND('Mapa de Riesgos'!$Z$58="Media",'Mapa de Riesgos'!$AB$58="Leve"),CONCATENATE("R6C",'Mapa de Riesgos'!$P$58),"")</f>
        <v/>
      </c>
      <c r="P31" s="25" t="str">
        <f>IF(AND('Mapa de Riesgos'!$Z$53="Media",'Mapa de Riesgos'!$AB$53="Menor"),CONCATENATE("R6C",'Mapa de Riesgos'!$P$53),"")</f>
        <v/>
      </c>
      <c r="Q31" s="26" t="str">
        <f>IF(AND('Mapa de Riesgos'!$Z$54="Media",'Mapa de Riesgos'!$AB$54="Menor"),CONCATENATE("R6C",'Mapa de Riesgos'!$P$54),"")</f>
        <v/>
      </c>
      <c r="R31" s="26" t="str">
        <f>IF(AND('Mapa de Riesgos'!$Z$55="Media",'Mapa de Riesgos'!$AB$55="Menor"),CONCATENATE("R6C",'Mapa de Riesgos'!$P$55),"")</f>
        <v/>
      </c>
      <c r="S31" s="26" t="str">
        <f>IF(AND('Mapa de Riesgos'!$Z$56="Media",'Mapa de Riesgos'!$AB$56="Menor"),CONCATENATE("R6C",'Mapa de Riesgos'!$P$56),"")</f>
        <v/>
      </c>
      <c r="T31" s="26" t="str">
        <f>IF(AND('Mapa de Riesgos'!$Z$57="Media",'Mapa de Riesgos'!$AB$57="Menor"),CONCATENATE("R6C",'Mapa de Riesgos'!$P$57),"")</f>
        <v/>
      </c>
      <c r="U31" s="27" t="str">
        <f>IF(AND('Mapa de Riesgos'!$Z$58="Media",'Mapa de Riesgos'!$AB$58="Menor"),CONCATENATE("R6C",'Mapa de Riesgos'!$P$58),"")</f>
        <v/>
      </c>
      <c r="V31" s="25" t="str">
        <f>IF(AND('Mapa de Riesgos'!$Z$53="Media",'Mapa de Riesgos'!$AB$53="Moderado"),CONCATENATE("R6C",'Mapa de Riesgos'!$P$53),"")</f>
        <v/>
      </c>
      <c r="W31" s="26" t="str">
        <f>IF(AND('Mapa de Riesgos'!$Z$54="Media",'Mapa de Riesgos'!$AB$54="Moderado"),CONCATENATE("R6C",'Mapa de Riesgos'!$P$54),"")</f>
        <v/>
      </c>
      <c r="X31" s="26" t="str">
        <f>IF(AND('Mapa de Riesgos'!$Z$55="Media",'Mapa de Riesgos'!$AB$55="Moderado"),CONCATENATE("R6C",'Mapa de Riesgos'!$P$55),"")</f>
        <v/>
      </c>
      <c r="Y31" s="26" t="str">
        <f>IF(AND('Mapa de Riesgos'!$Z$56="Media",'Mapa de Riesgos'!$AB$56="Moderado"),CONCATENATE("R6C",'Mapa de Riesgos'!$P$56),"")</f>
        <v/>
      </c>
      <c r="Z31" s="26" t="str">
        <f>IF(AND('Mapa de Riesgos'!$Z$57="Media",'Mapa de Riesgos'!$AB$57="Moderado"),CONCATENATE("R6C",'Mapa de Riesgos'!$P$57),"")</f>
        <v/>
      </c>
      <c r="AA31" s="27" t="str">
        <f>IF(AND('Mapa de Riesgos'!$Z$58="Media",'Mapa de Riesgos'!$AB$58="Moderado"),CONCATENATE("R6C",'Mapa de Riesgos'!$P$58),"")</f>
        <v/>
      </c>
      <c r="AB31" s="10" t="str">
        <f>IF(AND('Mapa de Riesgos'!$Z$53="Media",'Mapa de Riesgos'!$AB$53="Mayor"),CONCATENATE("R6C",'Mapa de Riesgos'!$P$53),"")</f>
        <v/>
      </c>
      <c r="AC31" s="11" t="str">
        <f>IF(AND('Mapa de Riesgos'!$Z$54="Media",'Mapa de Riesgos'!$AB$54="Mayor"),CONCATENATE("R6C",'Mapa de Riesgos'!$P$54),"")</f>
        <v/>
      </c>
      <c r="AD31" s="11" t="str">
        <f>IF(AND('Mapa de Riesgos'!$Z$55="Media",'Mapa de Riesgos'!$AB$55="Mayor"),CONCATENATE("R6C",'Mapa de Riesgos'!$P$55),"")</f>
        <v/>
      </c>
      <c r="AE31" s="11" t="str">
        <f>IF(AND('Mapa de Riesgos'!$Z$56="Media",'Mapa de Riesgos'!$AB$56="Mayor"),CONCATENATE("R6C",'Mapa de Riesgos'!$P$56),"")</f>
        <v/>
      </c>
      <c r="AF31" s="11" t="str">
        <f>IF(AND('Mapa de Riesgos'!$Z$57="Media",'Mapa de Riesgos'!$AB$57="Mayor"),CONCATENATE("R6C",'Mapa de Riesgos'!$P$57),"")</f>
        <v/>
      </c>
      <c r="AG31" s="12" t="str">
        <f>IF(AND('Mapa de Riesgos'!$Z$58="Media",'Mapa de Riesgos'!$AB$58="Mayor"),CONCATENATE("R6C",'Mapa de Riesgos'!$P$58),"")</f>
        <v/>
      </c>
      <c r="AH31" s="13" t="str">
        <f>IF(AND('Mapa de Riesgos'!$Z$53="Media",'Mapa de Riesgos'!$AB$53="Catastrófico"),CONCATENATE("R6C",'Mapa de Riesgos'!$P$53),"")</f>
        <v/>
      </c>
      <c r="AI31" s="14" t="str">
        <f>IF(AND('Mapa de Riesgos'!$Z$54="Media",'Mapa de Riesgos'!$AB$54="Catastrófico"),CONCATENATE("R6C",'Mapa de Riesgos'!$P$54),"")</f>
        <v/>
      </c>
      <c r="AJ31" s="14" t="str">
        <f>IF(AND('Mapa de Riesgos'!$Z$55="Media",'Mapa de Riesgos'!$AB$55="Catastrófico"),CONCATENATE("R6C",'Mapa de Riesgos'!$P$55),"")</f>
        <v/>
      </c>
      <c r="AK31" s="14" t="str">
        <f>IF(AND('Mapa de Riesgos'!$Z$56="Media",'Mapa de Riesgos'!$AB$56="Catastrófico"),CONCATENATE("R6C",'Mapa de Riesgos'!$P$56),"")</f>
        <v/>
      </c>
      <c r="AL31" s="14" t="str">
        <f>IF(AND('Mapa de Riesgos'!$Z$57="Media",'Mapa de Riesgos'!$AB$57="Catastrófico"),CONCATENATE("R6C",'Mapa de Riesgos'!$P$57),"")</f>
        <v/>
      </c>
      <c r="AM31" s="15" t="str">
        <f>IF(AND('Mapa de Riesgos'!$Z$58="Media",'Mapa de Riesgos'!$AB$58="Catastrófico"),CONCATENATE("R6C",'Mapa de Riesgos'!$P$58),"")</f>
        <v/>
      </c>
      <c r="AN31" s="41"/>
      <c r="AO31" s="468"/>
      <c r="AP31" s="469"/>
      <c r="AQ31" s="469"/>
      <c r="AR31" s="469"/>
      <c r="AS31" s="469"/>
      <c r="AT31" s="470"/>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row>
    <row r="32" spans="1:76" ht="15" customHeight="1" x14ac:dyDescent="0.25">
      <c r="A32" s="41"/>
      <c r="B32" s="340"/>
      <c r="C32" s="340"/>
      <c r="D32" s="341"/>
      <c r="E32" s="439"/>
      <c r="F32" s="438"/>
      <c r="G32" s="438"/>
      <c r="H32" s="438"/>
      <c r="I32" s="454"/>
      <c r="J32" s="25" t="str">
        <f>IF(AND('Mapa de Riesgos'!$Z$23="Media",'Mapa de Riesgos'!$AB$23="Leve"),CONCATENATE("R7C",'Mapa de Riesgos'!$P$23),"")</f>
        <v/>
      </c>
      <c r="K32" s="26" t="str">
        <f>IF(AND('Mapa de Riesgos'!$Z$24="Media",'Mapa de Riesgos'!$AB$24="Leve"),CONCATENATE("R7C",'Mapa de Riesgos'!$P$24),"")</f>
        <v/>
      </c>
      <c r="L32" s="26" t="str">
        <f>IF(AND('Mapa de Riesgos'!$Z$25="Media",'Mapa de Riesgos'!$AB$25="Leve"),CONCATENATE("R7C",'Mapa de Riesgos'!$P$25),"")</f>
        <v/>
      </c>
      <c r="M32" s="26" t="str">
        <f>IF(AND('Mapa de Riesgos'!$Z$26="Media",'Mapa de Riesgos'!$AB$26="Leve"),CONCATENATE("R7C",'Mapa de Riesgos'!$P$26),"")</f>
        <v/>
      </c>
      <c r="N32" s="26" t="str">
        <f>IF(AND('Mapa de Riesgos'!$Z$27="Media",'Mapa de Riesgos'!$AB$27="Leve"),CONCATENATE("R7C",'Mapa de Riesgos'!$P$27),"")</f>
        <v/>
      </c>
      <c r="O32" s="27" t="str">
        <f>IF(AND('Mapa de Riesgos'!$Z$28="Media",'Mapa de Riesgos'!$AB$28="Leve"),CONCATENATE("R7C",'Mapa de Riesgos'!$P$28),"")</f>
        <v/>
      </c>
      <c r="P32" s="25" t="str">
        <f>IF(AND('Mapa de Riesgos'!$Z$23="Media",'Mapa de Riesgos'!$AB$23="Menor"),CONCATENATE("R7C",'Mapa de Riesgos'!$P$23),"")</f>
        <v/>
      </c>
      <c r="Q32" s="26" t="str">
        <f>IF(AND('Mapa de Riesgos'!$Z$24="Media",'Mapa de Riesgos'!$AB$24="Menor"),CONCATENATE("R7C",'Mapa de Riesgos'!$P$24),"")</f>
        <v/>
      </c>
      <c r="R32" s="26" t="str">
        <f>IF(AND('Mapa de Riesgos'!$Z$25="Media",'Mapa de Riesgos'!$AB$25="Menor"),CONCATENATE("R7C",'Mapa de Riesgos'!$P$25),"")</f>
        <v/>
      </c>
      <c r="S32" s="26" t="str">
        <f>IF(AND('Mapa de Riesgos'!$Z$26="Media",'Mapa de Riesgos'!$AB$26="Menor"),CONCATENATE("R7C",'Mapa de Riesgos'!$P$26),"")</f>
        <v/>
      </c>
      <c r="T32" s="26" t="str">
        <f>IF(AND('Mapa de Riesgos'!$Z$27="Media",'Mapa de Riesgos'!$AB$27="Menor"),CONCATENATE("R7C",'Mapa de Riesgos'!$P$27),"")</f>
        <v/>
      </c>
      <c r="U32" s="27" t="str">
        <f>IF(AND('Mapa de Riesgos'!$Z$28="Media",'Mapa de Riesgos'!$AB$28="Menor"),CONCATENATE("R7C",'Mapa de Riesgos'!$P$28),"")</f>
        <v/>
      </c>
      <c r="V32" s="25" t="str">
        <f>IF(AND('Mapa de Riesgos'!$Z$23="Media",'Mapa de Riesgos'!$AB$23="Moderado"),CONCATENATE("R7C",'Mapa de Riesgos'!$P$23),"")</f>
        <v/>
      </c>
      <c r="W32" s="26" t="str">
        <f>IF(AND('Mapa de Riesgos'!$Z$24="Media",'Mapa de Riesgos'!$AB$24="Moderado"),CONCATENATE("R7C",'Mapa de Riesgos'!$P$24),"")</f>
        <v/>
      </c>
      <c r="X32" s="26" t="str">
        <f>IF(AND('Mapa de Riesgos'!$Z$25="Media",'Mapa de Riesgos'!$AB$25="Moderado"),CONCATENATE("R7C",'Mapa de Riesgos'!$P$25),"")</f>
        <v/>
      </c>
      <c r="Y32" s="26" t="str">
        <f>IF(AND('Mapa de Riesgos'!$Z$26="Media",'Mapa de Riesgos'!$AB$26="Moderado"),CONCATENATE("R7C",'Mapa de Riesgos'!$P$26),"")</f>
        <v/>
      </c>
      <c r="Z32" s="26" t="str">
        <f>IF(AND('Mapa de Riesgos'!$Z$27="Media",'Mapa de Riesgos'!$AB$27="Moderado"),CONCATENATE("R7C",'Mapa de Riesgos'!$P$27),"")</f>
        <v/>
      </c>
      <c r="AA32" s="27" t="str">
        <f>IF(AND('Mapa de Riesgos'!$Z$28="Media",'Mapa de Riesgos'!$AB$28="Moderado"),CONCATENATE("R7C",'Mapa de Riesgos'!$P$28),"")</f>
        <v/>
      </c>
      <c r="AB32" s="10" t="str">
        <f>IF(AND('Mapa de Riesgos'!$Z$23="Media",'Mapa de Riesgos'!$AB$23="Mayor"),CONCATENATE("R7C",'Mapa de Riesgos'!$P$23),"")</f>
        <v/>
      </c>
      <c r="AC32" s="11" t="str">
        <f>IF(AND('Mapa de Riesgos'!$Z$24="Media",'Mapa de Riesgos'!$AB$24="Mayor"),CONCATENATE("R7C",'Mapa de Riesgos'!$P$24),"")</f>
        <v/>
      </c>
      <c r="AD32" s="11" t="str">
        <f>IF(AND('Mapa de Riesgos'!$Z$25="Media",'Mapa de Riesgos'!$AB$25="Mayor"),CONCATENATE("R7C",'Mapa de Riesgos'!$P$25),"")</f>
        <v/>
      </c>
      <c r="AE32" s="11" t="str">
        <f>IF(AND('Mapa de Riesgos'!$Z$26="Media",'Mapa de Riesgos'!$AB$26="Mayor"),CONCATENATE("R7C",'Mapa de Riesgos'!$P$26),"")</f>
        <v/>
      </c>
      <c r="AF32" s="11" t="str">
        <f>IF(AND('Mapa de Riesgos'!$Z$27="Media",'Mapa de Riesgos'!$AB$27="Mayor"),CONCATENATE("R7C",'Mapa de Riesgos'!$P$27),"")</f>
        <v/>
      </c>
      <c r="AG32" s="12" t="str">
        <f>IF(AND('Mapa de Riesgos'!$Z$28="Media",'Mapa de Riesgos'!$AB$28="Mayor"),CONCATENATE("R7C",'Mapa de Riesgos'!$P$28),"")</f>
        <v/>
      </c>
      <c r="AH32" s="13" t="str">
        <f>IF(AND('Mapa de Riesgos'!$Z$23="Media",'Mapa de Riesgos'!$AB$23="Catastrófico"),CONCATENATE("R7C",'Mapa de Riesgos'!$P$23),"")</f>
        <v/>
      </c>
      <c r="AI32" s="14" t="str">
        <f>IF(AND('Mapa de Riesgos'!$Z$24="Media",'Mapa de Riesgos'!$AB$24="Catastrófico"),CONCATENATE("R7C",'Mapa de Riesgos'!$P$24),"")</f>
        <v/>
      </c>
      <c r="AJ32" s="14" t="str">
        <f>IF(AND('Mapa de Riesgos'!$Z$25="Media",'Mapa de Riesgos'!$AB$25="Catastrófico"),CONCATENATE("R7C",'Mapa de Riesgos'!$P$25),"")</f>
        <v/>
      </c>
      <c r="AK32" s="14" t="str">
        <f>IF(AND('Mapa de Riesgos'!$Z$26="Media",'Mapa de Riesgos'!$AB$26="Catastrófico"),CONCATENATE("R7C",'Mapa de Riesgos'!$P$26),"")</f>
        <v/>
      </c>
      <c r="AL32" s="14" t="str">
        <f>IF(AND('Mapa de Riesgos'!$Z$27="Media",'Mapa de Riesgos'!$AB$27="Catastrófico"),CONCATENATE("R7C",'Mapa de Riesgos'!$P$27),"")</f>
        <v/>
      </c>
      <c r="AM32" s="15" t="str">
        <f>IF(AND('Mapa de Riesgos'!$Z$28="Media",'Mapa de Riesgos'!$AB$28="Catastrófico"),CONCATENATE("R7C",'Mapa de Riesgos'!$P$28),"")</f>
        <v/>
      </c>
      <c r="AN32" s="41"/>
      <c r="AO32" s="468"/>
      <c r="AP32" s="469"/>
      <c r="AQ32" s="469"/>
      <c r="AR32" s="469"/>
      <c r="AS32" s="469"/>
      <c r="AT32" s="470"/>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row>
    <row r="33" spans="1:80" ht="15" customHeight="1" x14ac:dyDescent="0.25">
      <c r="A33" s="41"/>
      <c r="B33" s="340"/>
      <c r="C33" s="340"/>
      <c r="D33" s="341"/>
      <c r="E33" s="439"/>
      <c r="F33" s="438"/>
      <c r="G33" s="438"/>
      <c r="H33" s="438"/>
      <c r="I33" s="454"/>
      <c r="J33" s="25" t="str">
        <f>IF(AND('Mapa de Riesgos'!$Z$17="Media",'Mapa de Riesgos'!$AB$17="Leve"),CONCATENATE("R8C",'Mapa de Riesgos'!$P$17),"")</f>
        <v/>
      </c>
      <c r="K33" s="26" t="str">
        <f>IF(AND('Mapa de Riesgos'!$Z$18="Media",'Mapa de Riesgos'!$AB$18="Leve"),CONCATENATE("R8C",'Mapa de Riesgos'!$P$18),"")</f>
        <v/>
      </c>
      <c r="L33" s="26" t="str">
        <f>IF(AND('Mapa de Riesgos'!$Z$19="Media",'Mapa de Riesgos'!$AB$19="Leve"),CONCATENATE("R8C",'Mapa de Riesgos'!$P$19),"")</f>
        <v/>
      </c>
      <c r="M33" s="26" t="str">
        <f>IF(AND('Mapa de Riesgos'!$Z$20="Media",'Mapa de Riesgos'!$AB$20="Leve"),CONCATENATE("R8C",'Mapa de Riesgos'!$P$20),"")</f>
        <v/>
      </c>
      <c r="N33" s="26" t="str">
        <f>IF(AND('Mapa de Riesgos'!$Z$21="Media",'Mapa de Riesgos'!$AB$21="Leve"),CONCATENATE("R8C",'Mapa de Riesgos'!$P$21),"")</f>
        <v/>
      </c>
      <c r="O33" s="27" t="str">
        <f>IF(AND('Mapa de Riesgos'!$Z$22="Media",'Mapa de Riesgos'!$AB$22="Leve"),CONCATENATE("R8C",'Mapa de Riesgos'!$P$22),"")</f>
        <v/>
      </c>
      <c r="P33" s="25" t="str">
        <f>IF(AND('Mapa de Riesgos'!$Z$17="Media",'Mapa de Riesgos'!$AB$17="Menor"),CONCATENATE("R8C",'Mapa de Riesgos'!$P$17),"")</f>
        <v/>
      </c>
      <c r="Q33" s="26" t="str">
        <f>IF(AND('Mapa de Riesgos'!$Z$18="Media",'Mapa de Riesgos'!$AB$18="Menor"),CONCATENATE("R8C",'Mapa de Riesgos'!$P$18),"")</f>
        <v/>
      </c>
      <c r="R33" s="26" t="str">
        <f>IF(AND('Mapa de Riesgos'!$Z$19="Media",'Mapa de Riesgos'!$AB$19="Menor"),CONCATENATE("R8C",'Mapa de Riesgos'!$P$19),"")</f>
        <v/>
      </c>
      <c r="S33" s="26" t="str">
        <f>IF(AND('Mapa de Riesgos'!$Z$20="Media",'Mapa de Riesgos'!$AB$20="Menor"),CONCATENATE("R8C",'Mapa de Riesgos'!$P$20),"")</f>
        <v/>
      </c>
      <c r="T33" s="26" t="str">
        <f>IF(AND('Mapa de Riesgos'!$Z$21="Media",'Mapa de Riesgos'!$AB$21="Menor"),CONCATENATE("R8C",'Mapa de Riesgos'!$P$21),"")</f>
        <v/>
      </c>
      <c r="U33" s="27" t="str">
        <f>IF(AND('Mapa de Riesgos'!$Z$22="Media",'Mapa de Riesgos'!$AB$22="Menor"),CONCATENATE("R8C",'Mapa de Riesgos'!$P$22),"")</f>
        <v/>
      </c>
      <c r="V33" s="25" t="str">
        <f>IF(AND('Mapa de Riesgos'!$Z$17="Media",'Mapa de Riesgos'!$AB$17="Moderado"),CONCATENATE("R8C",'Mapa de Riesgos'!$P$17),"")</f>
        <v/>
      </c>
      <c r="W33" s="26" t="str">
        <f>IF(AND('Mapa de Riesgos'!$Z$18="Media",'Mapa de Riesgos'!$AB$18="Moderado"),CONCATENATE("R8C",'Mapa de Riesgos'!$P$18),"")</f>
        <v/>
      </c>
      <c r="X33" s="26" t="str">
        <f>IF(AND('Mapa de Riesgos'!$Z$19="Media",'Mapa de Riesgos'!$AB$19="Moderado"),CONCATENATE("R8C",'Mapa de Riesgos'!$P$19),"")</f>
        <v/>
      </c>
      <c r="Y33" s="26" t="str">
        <f>IF(AND('Mapa de Riesgos'!$Z$20="Media",'Mapa de Riesgos'!$AB$20="Moderado"),CONCATENATE("R8C",'Mapa de Riesgos'!$P$20),"")</f>
        <v/>
      </c>
      <c r="Z33" s="26" t="str">
        <f>IF(AND('Mapa de Riesgos'!$Z$21="Media",'Mapa de Riesgos'!$AB$21="Moderado"),CONCATENATE("R8C",'Mapa de Riesgos'!$P$21),"")</f>
        <v/>
      </c>
      <c r="AA33" s="27" t="str">
        <f>IF(AND('Mapa de Riesgos'!$Z$22="Media",'Mapa de Riesgos'!$AB$22="Moderado"),CONCATENATE("R8C",'Mapa de Riesgos'!$P$22),"")</f>
        <v/>
      </c>
      <c r="AB33" s="10" t="str">
        <f>IF(AND('Mapa de Riesgos'!$Z$17="Media",'Mapa de Riesgos'!$AB$17="Mayor"),CONCATENATE("R8C",'Mapa de Riesgos'!$P$17),"")</f>
        <v/>
      </c>
      <c r="AC33" s="11" t="str">
        <f>IF(AND('Mapa de Riesgos'!$Z$18="Media",'Mapa de Riesgos'!$AB$18="Mayor"),CONCATENATE("R8C",'Mapa de Riesgos'!$P$18),"")</f>
        <v/>
      </c>
      <c r="AD33" s="11" t="str">
        <f>IF(AND('Mapa de Riesgos'!$Z$19="Media",'Mapa de Riesgos'!$AB$19="Mayor"),CONCATENATE("R8C",'Mapa de Riesgos'!$P$19),"")</f>
        <v/>
      </c>
      <c r="AE33" s="11" t="str">
        <f>IF(AND('Mapa de Riesgos'!$Z$20="Media",'Mapa de Riesgos'!$AB$20="Mayor"),CONCATENATE("R8C",'Mapa de Riesgos'!$P$20),"")</f>
        <v/>
      </c>
      <c r="AF33" s="11" t="str">
        <f>IF(AND('Mapa de Riesgos'!$Z$21="Media",'Mapa de Riesgos'!$AB$21="Mayor"),CONCATENATE("R8C",'Mapa de Riesgos'!$P$21),"")</f>
        <v/>
      </c>
      <c r="AG33" s="12" t="str">
        <f>IF(AND('Mapa de Riesgos'!$Z$22="Media",'Mapa de Riesgos'!$AB$22="Mayor"),CONCATENATE("R8C",'Mapa de Riesgos'!$P$22),"")</f>
        <v/>
      </c>
      <c r="AH33" s="13" t="str">
        <f>IF(AND('Mapa de Riesgos'!$Z$17="Media",'Mapa de Riesgos'!$AB$17="Catastrófico"),CONCATENATE("R8C",'Mapa de Riesgos'!$P$17),"")</f>
        <v/>
      </c>
      <c r="AI33" s="14" t="str">
        <f>IF(AND('Mapa de Riesgos'!$Z$18="Media",'Mapa de Riesgos'!$AB$18="Catastrófico"),CONCATENATE("R8C",'Mapa de Riesgos'!$P$18),"")</f>
        <v/>
      </c>
      <c r="AJ33" s="14" t="str">
        <f>IF(AND('Mapa de Riesgos'!$Z$19="Media",'Mapa de Riesgos'!$AB$19="Catastrófico"),CONCATENATE("R8C",'Mapa de Riesgos'!$P$19),"")</f>
        <v/>
      </c>
      <c r="AK33" s="14" t="str">
        <f>IF(AND('Mapa de Riesgos'!$Z$20="Media",'Mapa de Riesgos'!$AB$20="Catastrófico"),CONCATENATE("R8C",'Mapa de Riesgos'!$P$20),"")</f>
        <v/>
      </c>
      <c r="AL33" s="14" t="str">
        <f>IF(AND('Mapa de Riesgos'!$Z$21="Media",'Mapa de Riesgos'!$AB$21="Catastrófico"),CONCATENATE("R8C",'Mapa de Riesgos'!$P$21),"")</f>
        <v/>
      </c>
      <c r="AM33" s="15" t="str">
        <f>IF(AND('Mapa de Riesgos'!$Z$22="Media",'Mapa de Riesgos'!$AB$22="Catastrófico"),CONCATENATE("R8C",'Mapa de Riesgos'!$P$22),"")</f>
        <v/>
      </c>
      <c r="AN33" s="41"/>
      <c r="AO33" s="468"/>
      <c r="AP33" s="469"/>
      <c r="AQ33" s="469"/>
      <c r="AR33" s="469"/>
      <c r="AS33" s="469"/>
      <c r="AT33" s="470"/>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row>
    <row r="34" spans="1:80" ht="15" customHeight="1" x14ac:dyDescent="0.25">
      <c r="A34" s="41"/>
      <c r="B34" s="340"/>
      <c r="C34" s="340"/>
      <c r="D34" s="341"/>
      <c r="E34" s="439"/>
      <c r="F34" s="438"/>
      <c r="G34" s="438"/>
      <c r="H34" s="438"/>
      <c r="I34" s="454"/>
      <c r="J34" s="25" t="str">
        <f>IF(AND('Mapa de Riesgos'!$Z$59="Media",'Mapa de Riesgos'!$AB$59="Leve"),CONCATENATE("R9C",'Mapa de Riesgos'!$P$59),"")</f>
        <v/>
      </c>
      <c r="K34" s="26" t="str">
        <f>IF(AND('Mapa de Riesgos'!$Z$60="Media",'Mapa de Riesgos'!$AB$60="Leve"),CONCATENATE("R9C",'Mapa de Riesgos'!$P$60),"")</f>
        <v/>
      </c>
      <c r="L34" s="26" t="str">
        <f>IF(AND('Mapa de Riesgos'!$Z$61="Media",'Mapa de Riesgos'!$AB$61="Leve"),CONCATENATE("R9C",'Mapa de Riesgos'!$P$61),"")</f>
        <v/>
      </c>
      <c r="M34" s="26" t="str">
        <f>IF(AND('Mapa de Riesgos'!$Z$62="Media",'Mapa de Riesgos'!$AB$62="Leve"),CONCATENATE("R9C",'Mapa de Riesgos'!$P$62),"")</f>
        <v/>
      </c>
      <c r="N34" s="26" t="str">
        <f>IF(AND('Mapa de Riesgos'!$Z$63="Media",'Mapa de Riesgos'!$AB$63="Leve"),CONCATENATE("R9C",'Mapa de Riesgos'!$P$63),"")</f>
        <v/>
      </c>
      <c r="O34" s="27" t="str">
        <f>IF(AND('Mapa de Riesgos'!$Z$64="Media",'Mapa de Riesgos'!$AB$64="Leve"),CONCATENATE("R9C",'Mapa de Riesgos'!$P$64),"")</f>
        <v/>
      </c>
      <c r="P34" s="25" t="str">
        <f>IF(AND('Mapa de Riesgos'!$Z$59="Media",'Mapa de Riesgos'!$AB$59="Menor"),CONCATENATE("R9C",'Mapa de Riesgos'!$P$59),"")</f>
        <v/>
      </c>
      <c r="Q34" s="26" t="str">
        <f>IF(AND('Mapa de Riesgos'!$Z$60="Media",'Mapa de Riesgos'!$AB$60="Menor"),CONCATENATE("R9C",'Mapa de Riesgos'!$P$60),"")</f>
        <v/>
      </c>
      <c r="R34" s="26" t="str">
        <f>IF(AND('Mapa de Riesgos'!$Z$61="Media",'Mapa de Riesgos'!$AB$61="Menor"),CONCATENATE("R9C",'Mapa de Riesgos'!$P$61),"")</f>
        <v/>
      </c>
      <c r="S34" s="26" t="str">
        <f>IF(AND('Mapa de Riesgos'!$Z$62="Media",'Mapa de Riesgos'!$AB$62="Menor"),CONCATENATE("R9C",'Mapa de Riesgos'!$P$62),"")</f>
        <v/>
      </c>
      <c r="T34" s="26" t="str">
        <f>IF(AND('Mapa de Riesgos'!$Z$63="Media",'Mapa de Riesgos'!$AB$63="Menor"),CONCATENATE("R9C",'Mapa de Riesgos'!$P$63),"")</f>
        <v/>
      </c>
      <c r="U34" s="27" t="str">
        <f>IF(AND('Mapa de Riesgos'!$Z$64="Media",'Mapa de Riesgos'!$AB$64="Menor"),CONCATENATE("R9C",'Mapa de Riesgos'!$P$64),"")</f>
        <v/>
      </c>
      <c r="V34" s="25" t="str">
        <f>IF(AND('Mapa de Riesgos'!$Z$59="Media",'Mapa de Riesgos'!$AB$59="Moderado"),CONCATENATE("R9C",'Mapa de Riesgos'!$P$59),"")</f>
        <v/>
      </c>
      <c r="W34" s="26" t="str">
        <f>IF(AND('Mapa de Riesgos'!$Z$60="Media",'Mapa de Riesgos'!$AB$60="Moderado"),CONCATENATE("R9C",'Mapa de Riesgos'!$P$60),"")</f>
        <v/>
      </c>
      <c r="X34" s="26" t="str">
        <f>IF(AND('Mapa de Riesgos'!$Z$61="Media",'Mapa de Riesgos'!$AB$61="Moderado"),CONCATENATE("R9C",'Mapa de Riesgos'!$P$61),"")</f>
        <v/>
      </c>
      <c r="Y34" s="26" t="str">
        <f>IF(AND('Mapa de Riesgos'!$Z$62="Media",'Mapa de Riesgos'!$AB$62="Moderado"),CONCATENATE("R9C",'Mapa de Riesgos'!$P$62),"")</f>
        <v/>
      </c>
      <c r="Z34" s="26" t="str">
        <f>IF(AND('Mapa de Riesgos'!$Z$63="Media",'Mapa de Riesgos'!$AB$63="Moderado"),CONCATENATE("R9C",'Mapa de Riesgos'!$P$63),"")</f>
        <v/>
      </c>
      <c r="AA34" s="27" t="str">
        <f>IF(AND('Mapa de Riesgos'!$Z$64="Media",'Mapa de Riesgos'!$AB$64="Moderado"),CONCATENATE("R9C",'Mapa de Riesgos'!$P$64),"")</f>
        <v/>
      </c>
      <c r="AB34" s="10" t="str">
        <f>IF(AND('Mapa de Riesgos'!$Z$59="Media",'Mapa de Riesgos'!$AB$59="Mayor"),CONCATENATE("R9C",'Mapa de Riesgos'!$P$59),"")</f>
        <v/>
      </c>
      <c r="AC34" s="11" t="str">
        <f>IF(AND('Mapa de Riesgos'!$Z$60="Media",'Mapa de Riesgos'!$AB$60="Mayor"),CONCATENATE("R9C",'Mapa de Riesgos'!$P$60),"")</f>
        <v/>
      </c>
      <c r="AD34" s="11" t="str">
        <f>IF(AND('Mapa de Riesgos'!$Z$61="Media",'Mapa de Riesgos'!$AB$61="Mayor"),CONCATENATE("R9C",'Mapa de Riesgos'!$P$61),"")</f>
        <v/>
      </c>
      <c r="AE34" s="11" t="str">
        <f>IF(AND('Mapa de Riesgos'!$Z$62="Media",'Mapa de Riesgos'!$AB$62="Mayor"),CONCATENATE("R9C",'Mapa de Riesgos'!$P$62),"")</f>
        <v/>
      </c>
      <c r="AF34" s="11" t="str">
        <f>IF(AND('Mapa de Riesgos'!$Z$63="Media",'Mapa de Riesgos'!$AB$63="Mayor"),CONCATENATE("R9C",'Mapa de Riesgos'!$P$63),"")</f>
        <v/>
      </c>
      <c r="AG34" s="12" t="str">
        <f>IF(AND('Mapa de Riesgos'!$Z$64="Media",'Mapa de Riesgos'!$AB$64="Mayor"),CONCATENATE("R9C",'Mapa de Riesgos'!$P$64),"")</f>
        <v/>
      </c>
      <c r="AH34" s="13" t="str">
        <f>IF(AND('Mapa de Riesgos'!$Z$59="Media",'Mapa de Riesgos'!$AB$59="Catastrófico"),CONCATENATE("R9C",'Mapa de Riesgos'!$P$59),"")</f>
        <v/>
      </c>
      <c r="AI34" s="14" t="str">
        <f>IF(AND('Mapa de Riesgos'!$Z$60="Media",'Mapa de Riesgos'!$AB$60="Catastrófico"),CONCATENATE("R9C",'Mapa de Riesgos'!$P$60),"")</f>
        <v/>
      </c>
      <c r="AJ34" s="14" t="str">
        <f>IF(AND('Mapa de Riesgos'!$Z$61="Media",'Mapa de Riesgos'!$AB$61="Catastrófico"),CONCATENATE("R9C",'Mapa de Riesgos'!$P$61),"")</f>
        <v/>
      </c>
      <c r="AK34" s="14" t="str">
        <f>IF(AND('Mapa de Riesgos'!$Z$62="Media",'Mapa de Riesgos'!$AB$62="Catastrófico"),CONCATENATE("R9C",'Mapa de Riesgos'!$P$62),"")</f>
        <v/>
      </c>
      <c r="AL34" s="14" t="str">
        <f>IF(AND('Mapa de Riesgos'!$Z$63="Media",'Mapa de Riesgos'!$AB$63="Catastrófico"),CONCATENATE("R9C",'Mapa de Riesgos'!$P$63),"")</f>
        <v/>
      </c>
      <c r="AM34" s="15" t="str">
        <f>IF(AND('Mapa de Riesgos'!$Z$64="Media",'Mapa de Riesgos'!$AB$64="Catastrófico"),CONCATENATE("R9C",'Mapa de Riesgos'!$P$64),"")</f>
        <v/>
      </c>
      <c r="AN34" s="41"/>
      <c r="AO34" s="468"/>
      <c r="AP34" s="469"/>
      <c r="AQ34" s="469"/>
      <c r="AR34" s="469"/>
      <c r="AS34" s="469"/>
      <c r="AT34" s="470"/>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row>
    <row r="35" spans="1:80" ht="15.75" customHeight="1" thickBot="1" x14ac:dyDescent="0.3">
      <c r="A35" s="41"/>
      <c r="B35" s="340"/>
      <c r="C35" s="340"/>
      <c r="D35" s="341"/>
      <c r="E35" s="440"/>
      <c r="F35" s="441"/>
      <c r="G35" s="441"/>
      <c r="H35" s="441"/>
      <c r="I35" s="455"/>
      <c r="J35" s="25" t="str">
        <f>IF(AND('Mapa de Riesgos'!$Z$65="Media",'Mapa de Riesgos'!$AB$65="Leve"),CONCATENATE("R10C",'Mapa de Riesgos'!$P$65),"")</f>
        <v/>
      </c>
      <c r="K35" s="26" t="str">
        <f>IF(AND('Mapa de Riesgos'!$Z$66="Media",'Mapa de Riesgos'!$AB$66="Leve"),CONCATENATE("R10C",'Mapa de Riesgos'!$P$66),"")</f>
        <v/>
      </c>
      <c r="L35" s="26" t="str">
        <f>IF(AND('Mapa de Riesgos'!$Z$67="Media",'Mapa de Riesgos'!$AB$67="Leve"),CONCATENATE("R10C",'Mapa de Riesgos'!$P$67),"")</f>
        <v/>
      </c>
      <c r="M35" s="26" t="str">
        <f>IF(AND('Mapa de Riesgos'!$Z$68="Media",'Mapa de Riesgos'!$AB$68="Leve"),CONCATENATE("R10C",'Mapa de Riesgos'!$P$68),"")</f>
        <v/>
      </c>
      <c r="N35" s="26" t="str">
        <f>IF(AND('Mapa de Riesgos'!$Z$69="Media",'Mapa de Riesgos'!$AB$69="Leve"),CONCATENATE("R10C",'Mapa de Riesgos'!$P$69),"")</f>
        <v/>
      </c>
      <c r="O35" s="27" t="str">
        <f>IF(AND('Mapa de Riesgos'!$Z$70="Media",'Mapa de Riesgos'!$AB$70="Leve"),CONCATENATE("R10C",'Mapa de Riesgos'!$P$70),"")</f>
        <v/>
      </c>
      <c r="P35" s="25" t="str">
        <f>IF(AND('Mapa de Riesgos'!$Z$65="Media",'Mapa de Riesgos'!$AB$65="Menor"),CONCATENATE("R10C",'Mapa de Riesgos'!$P$65),"")</f>
        <v/>
      </c>
      <c r="Q35" s="26" t="str">
        <f>IF(AND('Mapa de Riesgos'!$Z$66="Media",'Mapa de Riesgos'!$AB$66="Menor"),CONCATENATE("R10C",'Mapa de Riesgos'!$P$66),"")</f>
        <v/>
      </c>
      <c r="R35" s="26" t="str">
        <f>IF(AND('Mapa de Riesgos'!$Z$67="Media",'Mapa de Riesgos'!$AB$67="Menor"),CONCATENATE("R10C",'Mapa de Riesgos'!$P$67),"")</f>
        <v/>
      </c>
      <c r="S35" s="26" t="str">
        <f>IF(AND('Mapa de Riesgos'!$Z$68="Media",'Mapa de Riesgos'!$AB$68="Menor"),CONCATENATE("R10C",'Mapa de Riesgos'!$P$68),"")</f>
        <v/>
      </c>
      <c r="T35" s="26" t="str">
        <f>IF(AND('Mapa de Riesgos'!$Z$69="Media",'Mapa de Riesgos'!$AB$69="Menor"),CONCATENATE("R10C",'Mapa de Riesgos'!$P$69),"")</f>
        <v/>
      </c>
      <c r="U35" s="27" t="str">
        <f>IF(AND('Mapa de Riesgos'!$Z$70="Media",'Mapa de Riesgos'!$AB$70="Menor"),CONCATENATE("R10C",'Mapa de Riesgos'!$P$70),"")</f>
        <v/>
      </c>
      <c r="V35" s="25" t="str">
        <f>IF(AND('Mapa de Riesgos'!$Z$65="Media",'Mapa de Riesgos'!$AB$65="Moderado"),CONCATENATE("R10C",'Mapa de Riesgos'!$P$65),"")</f>
        <v/>
      </c>
      <c r="W35" s="26" t="str">
        <f>IF(AND('Mapa de Riesgos'!$Z$66="Media",'Mapa de Riesgos'!$AB$66="Moderado"),CONCATENATE("R10C",'Mapa de Riesgos'!$P$66),"")</f>
        <v/>
      </c>
      <c r="X35" s="26" t="str">
        <f>IF(AND('Mapa de Riesgos'!$Z$67="Media",'Mapa de Riesgos'!$AB$67="Moderado"),CONCATENATE("R10C",'Mapa de Riesgos'!$P$67),"")</f>
        <v/>
      </c>
      <c r="Y35" s="26" t="str">
        <f>IF(AND('Mapa de Riesgos'!$Z$68="Media",'Mapa de Riesgos'!$AB$68="Moderado"),CONCATENATE("R10C",'Mapa de Riesgos'!$P$68),"")</f>
        <v/>
      </c>
      <c r="Z35" s="26" t="str">
        <f>IF(AND('Mapa de Riesgos'!$Z$69="Media",'Mapa de Riesgos'!$AB$69="Moderado"),CONCATENATE("R10C",'Mapa de Riesgos'!$P$69),"")</f>
        <v/>
      </c>
      <c r="AA35" s="27" t="str">
        <f>IF(AND('Mapa de Riesgos'!$Z$70="Media",'Mapa de Riesgos'!$AB$70="Moderado"),CONCATENATE("R10C",'Mapa de Riesgos'!$P$70),"")</f>
        <v/>
      </c>
      <c r="AB35" s="16" t="str">
        <f>IF(AND('Mapa de Riesgos'!$Z$65="Media",'Mapa de Riesgos'!$AB$65="Mayor"),CONCATENATE("R10C",'Mapa de Riesgos'!$P$65),"")</f>
        <v/>
      </c>
      <c r="AC35" s="17" t="str">
        <f>IF(AND('Mapa de Riesgos'!$Z$66="Media",'Mapa de Riesgos'!$AB$66="Mayor"),CONCATENATE("R10C",'Mapa de Riesgos'!$P$66),"")</f>
        <v/>
      </c>
      <c r="AD35" s="17" t="str">
        <f>IF(AND('Mapa de Riesgos'!$Z$67="Media",'Mapa de Riesgos'!$AB$67="Mayor"),CONCATENATE("R10C",'Mapa de Riesgos'!$P$67),"")</f>
        <v/>
      </c>
      <c r="AE35" s="17" t="str">
        <f>IF(AND('Mapa de Riesgos'!$Z$68="Media",'Mapa de Riesgos'!$AB$68="Mayor"),CONCATENATE("R10C",'Mapa de Riesgos'!$P$68),"")</f>
        <v/>
      </c>
      <c r="AF35" s="17" t="str">
        <f>IF(AND('Mapa de Riesgos'!$Z$69="Media",'Mapa de Riesgos'!$AB$69="Mayor"),CONCATENATE("R10C",'Mapa de Riesgos'!$P$69),"")</f>
        <v/>
      </c>
      <c r="AG35" s="18" t="str">
        <f>IF(AND('Mapa de Riesgos'!$Z$70="Media",'Mapa de Riesgos'!$AB$70="Mayor"),CONCATENATE("R10C",'Mapa de Riesgos'!$P$70),"")</f>
        <v/>
      </c>
      <c r="AH35" s="19" t="str">
        <f>IF(AND('Mapa de Riesgos'!$Z$65="Media",'Mapa de Riesgos'!$AB$65="Catastrófico"),CONCATENATE("R10C",'Mapa de Riesgos'!$P$65),"")</f>
        <v/>
      </c>
      <c r="AI35" s="20" t="str">
        <f>IF(AND('Mapa de Riesgos'!$Z$66="Media",'Mapa de Riesgos'!$AB$66="Catastrófico"),CONCATENATE("R10C",'Mapa de Riesgos'!$P$66),"")</f>
        <v/>
      </c>
      <c r="AJ35" s="20" t="str">
        <f>IF(AND('Mapa de Riesgos'!$Z$67="Media",'Mapa de Riesgos'!$AB$67="Catastrófico"),CONCATENATE("R10C",'Mapa de Riesgos'!$P$67),"")</f>
        <v/>
      </c>
      <c r="AK35" s="20" t="str">
        <f>IF(AND('Mapa de Riesgos'!$Z$68="Media",'Mapa de Riesgos'!$AB$68="Catastrófico"),CONCATENATE("R10C",'Mapa de Riesgos'!$P$68),"")</f>
        <v/>
      </c>
      <c r="AL35" s="20" t="str">
        <f>IF(AND('Mapa de Riesgos'!$Z$69="Media",'Mapa de Riesgos'!$AB$69="Catastrófico"),CONCATENATE("R10C",'Mapa de Riesgos'!$P$69),"")</f>
        <v/>
      </c>
      <c r="AM35" s="21" t="str">
        <f>IF(AND('Mapa de Riesgos'!$Z$70="Media",'Mapa de Riesgos'!$AB$70="Catastrófico"),CONCATENATE("R10C",'Mapa de Riesgos'!$P$70),"")</f>
        <v/>
      </c>
      <c r="AN35" s="41"/>
      <c r="AO35" s="471"/>
      <c r="AP35" s="472"/>
      <c r="AQ35" s="472"/>
      <c r="AR35" s="472"/>
      <c r="AS35" s="472"/>
      <c r="AT35" s="473"/>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row>
    <row r="36" spans="1:80" ht="15" customHeight="1" x14ac:dyDescent="0.25">
      <c r="A36" s="41"/>
      <c r="B36" s="340"/>
      <c r="C36" s="340"/>
      <c r="D36" s="341"/>
      <c r="E36" s="435" t="s">
        <v>117</v>
      </c>
      <c r="F36" s="436"/>
      <c r="G36" s="436"/>
      <c r="H36" s="436"/>
      <c r="I36" s="436"/>
      <c r="J36" s="31" t="str">
        <f>IF(AND('Mapa de Riesgos'!$Z$11="Baja",'Mapa de Riesgos'!$AB$11="Leve"),CONCATENATE("R1C",'Mapa de Riesgos'!$P$11),"")</f>
        <v/>
      </c>
      <c r="K36" s="32" t="str">
        <f>IF(AND('Mapa de Riesgos'!$Z$12="Baja",'Mapa de Riesgos'!$AB$12="Leve"),CONCATENATE("R1C",'Mapa de Riesgos'!$P$12),"")</f>
        <v/>
      </c>
      <c r="L36" s="32" t="str">
        <f>IF(AND('Mapa de Riesgos'!$Z$13="Baja",'Mapa de Riesgos'!$AB$13="Leve"),CONCATENATE("R1C",'Mapa de Riesgos'!$P$13),"")</f>
        <v/>
      </c>
      <c r="M36" s="32" t="str">
        <f>IF(AND('Mapa de Riesgos'!$Z$14="Baja",'Mapa de Riesgos'!$AB$14="Leve"),CONCATENATE("R1C",'Mapa de Riesgos'!$P$14),"")</f>
        <v/>
      </c>
      <c r="N36" s="32" t="str">
        <f>IF(AND('Mapa de Riesgos'!$Z$15="Baja",'Mapa de Riesgos'!$AB$15="Leve"),CONCATENATE("R1C",'Mapa de Riesgos'!$P$15),"")</f>
        <v/>
      </c>
      <c r="O36" s="33" t="str">
        <f>IF(AND('Mapa de Riesgos'!$Z$16="Baja",'Mapa de Riesgos'!$AB$16="Leve"),CONCATENATE("R1C",'Mapa de Riesgos'!$P$16),"")</f>
        <v/>
      </c>
      <c r="P36" s="22" t="str">
        <f>IF(AND('Mapa de Riesgos'!$Z$11="Baja",'Mapa de Riesgos'!$AB$11="Menor"),CONCATENATE("R1C",'Mapa de Riesgos'!$P$11),"")</f>
        <v/>
      </c>
      <c r="Q36" s="23" t="str">
        <f>IF(AND('Mapa de Riesgos'!$Z$12="Baja",'Mapa de Riesgos'!$AB$12="Menor"),CONCATENATE("R1C",'Mapa de Riesgos'!$P$12),"")</f>
        <v/>
      </c>
      <c r="R36" s="23" t="str">
        <f>IF(AND('Mapa de Riesgos'!$Z$13="Baja",'Mapa de Riesgos'!$AB$13="Menor"),CONCATENATE("R1C",'Mapa de Riesgos'!$P$13),"")</f>
        <v/>
      </c>
      <c r="S36" s="23" t="str">
        <f>IF(AND('Mapa de Riesgos'!$Z$14="Baja",'Mapa de Riesgos'!$AB$14="Menor"),CONCATENATE("R1C",'Mapa de Riesgos'!$P$14),"")</f>
        <v/>
      </c>
      <c r="T36" s="23" t="str">
        <f>IF(AND('Mapa de Riesgos'!$Z$15="Baja",'Mapa de Riesgos'!$AB$15="Menor"),CONCATENATE("R1C",'Mapa de Riesgos'!$P$15),"")</f>
        <v/>
      </c>
      <c r="U36" s="24" t="str">
        <f>IF(AND('Mapa de Riesgos'!$Z$16="Baja",'Mapa de Riesgos'!$AB$16="Menor"),CONCATENATE("R1C",'Mapa de Riesgos'!$P$16),"")</f>
        <v/>
      </c>
      <c r="V36" s="22" t="str">
        <f>IF(AND('Mapa de Riesgos'!$Z$11="Baja",'Mapa de Riesgos'!$AB$11="Moderado"),CONCATENATE("R1C",'Mapa de Riesgos'!$P$11),"")</f>
        <v/>
      </c>
      <c r="W36" s="23" t="str">
        <f>IF(AND('Mapa de Riesgos'!$Z$12="Baja",'Mapa de Riesgos'!$AB$12="Moderado"),CONCATENATE("R1C",'Mapa de Riesgos'!$P$12),"")</f>
        <v/>
      </c>
      <c r="X36" s="23" t="str">
        <f>IF(AND('Mapa de Riesgos'!$Z$13="Baja",'Mapa de Riesgos'!$AB$13="Moderado"),CONCATENATE("R1C",'Mapa de Riesgos'!$P$13),"")</f>
        <v/>
      </c>
      <c r="Y36" s="23" t="str">
        <f>IF(AND('Mapa de Riesgos'!$Z$14="Baja",'Mapa de Riesgos'!$AB$14="Moderado"),CONCATENATE("R1C",'Mapa de Riesgos'!$P$14),"")</f>
        <v/>
      </c>
      <c r="Z36" s="23" t="str">
        <f>IF(AND('Mapa de Riesgos'!$Z$15="Baja",'Mapa de Riesgos'!$AB$15="Moderado"),CONCATENATE("R1C",'Mapa de Riesgos'!$P$15),"")</f>
        <v/>
      </c>
      <c r="AA36" s="24" t="str">
        <f>IF(AND('Mapa de Riesgos'!$Z$16="Baja",'Mapa de Riesgos'!$AB$16="Moderado"),CONCATENATE("R1C",'Mapa de Riesgos'!$P$16),"")</f>
        <v/>
      </c>
      <c r="AB36" s="4" t="str">
        <f>IF(AND('Mapa de Riesgos'!$Z$11="Baja",'Mapa de Riesgos'!$AB$11="Mayor"),CONCATENATE("R1C",'Mapa de Riesgos'!$P$11),"")</f>
        <v/>
      </c>
      <c r="AC36" s="5" t="str">
        <f>IF(AND('Mapa de Riesgos'!$Z$12="Baja",'Mapa de Riesgos'!$AB$12="Mayor"),CONCATENATE("R1C",'Mapa de Riesgos'!$P$12),"")</f>
        <v/>
      </c>
      <c r="AD36" s="5" t="str">
        <f>IF(AND('Mapa de Riesgos'!$Z$13="Baja",'Mapa de Riesgos'!$AB$13="Mayor"),CONCATENATE("R1C",'Mapa de Riesgos'!$P$13),"")</f>
        <v/>
      </c>
      <c r="AE36" s="5" t="str">
        <f>IF(AND('Mapa de Riesgos'!$Z$14="Baja",'Mapa de Riesgos'!$AB$14="Mayor"),CONCATENATE("R1C",'Mapa de Riesgos'!$P$14),"")</f>
        <v/>
      </c>
      <c r="AF36" s="5" t="str">
        <f>IF(AND('Mapa de Riesgos'!$Z$15="Baja",'Mapa de Riesgos'!$AB$15="Mayor"),CONCATENATE("R1C",'Mapa de Riesgos'!$P$15),"")</f>
        <v/>
      </c>
      <c r="AG36" s="6" t="str">
        <f>IF(AND('Mapa de Riesgos'!$Z$16="Baja",'Mapa de Riesgos'!$AB$16="Mayor"),CONCATENATE("R1C",'Mapa de Riesgos'!$P$16),"")</f>
        <v/>
      </c>
      <c r="AH36" s="7" t="str">
        <f>IF(AND('Mapa de Riesgos'!$Z$11="Baja",'Mapa de Riesgos'!$AB$11="Catastrófico"),CONCATENATE("R1C",'Mapa de Riesgos'!$P$11),"")</f>
        <v/>
      </c>
      <c r="AI36" s="8" t="str">
        <f>IF(AND('Mapa de Riesgos'!$Z$12="Baja",'Mapa de Riesgos'!$AB$12="Catastrófico"),CONCATENATE("R1C",'Mapa de Riesgos'!$P$12),"")</f>
        <v/>
      </c>
      <c r="AJ36" s="8" t="str">
        <f>IF(AND('Mapa de Riesgos'!$Z$13="Baja",'Mapa de Riesgos'!$AB$13="Catastrófico"),CONCATENATE("R1C",'Mapa de Riesgos'!$P$13),"")</f>
        <v/>
      </c>
      <c r="AK36" s="8" t="str">
        <f>IF(AND('Mapa de Riesgos'!$Z$14="Baja",'Mapa de Riesgos'!$AB$14="Catastrófico"),CONCATENATE("R1C",'Mapa de Riesgos'!$P$14),"")</f>
        <v/>
      </c>
      <c r="AL36" s="8" t="str">
        <f>IF(AND('Mapa de Riesgos'!$Z$15="Baja",'Mapa de Riesgos'!$AB$15="Catastrófico"),CONCATENATE("R1C",'Mapa de Riesgos'!$P$15),"")</f>
        <v/>
      </c>
      <c r="AM36" s="9" t="str">
        <f>IF(AND('Mapa de Riesgos'!$Z$16="Baja",'Mapa de Riesgos'!$AB$16="Catastrófico"),CONCATENATE("R1C",'Mapa de Riesgos'!$P$16),"")</f>
        <v/>
      </c>
      <c r="AN36" s="41"/>
      <c r="AO36" s="456" t="s">
        <v>118</v>
      </c>
      <c r="AP36" s="457"/>
      <c r="AQ36" s="457"/>
      <c r="AR36" s="457"/>
      <c r="AS36" s="457"/>
      <c r="AT36" s="458"/>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row>
    <row r="37" spans="1:80" ht="15" customHeight="1" x14ac:dyDescent="0.25">
      <c r="A37" s="41"/>
      <c r="B37" s="340"/>
      <c r="C37" s="340"/>
      <c r="D37" s="341"/>
      <c r="E37" s="437"/>
      <c r="F37" s="438"/>
      <c r="G37" s="438"/>
      <c r="H37" s="438"/>
      <c r="I37" s="438"/>
      <c r="J37" s="34" t="str">
        <f>IF(AND('Mapa de Riesgos'!$Z$29="Baja",'Mapa de Riesgos'!$AB$29="Leve"),CONCATENATE("R2C",'Mapa de Riesgos'!$P$29),"")</f>
        <v/>
      </c>
      <c r="K37" s="35" t="str">
        <f>IF(AND('Mapa de Riesgos'!$Z$30="Baja",'Mapa de Riesgos'!$AB$30="Leve"),CONCATENATE("R2C",'Mapa de Riesgos'!$P$30),"")</f>
        <v/>
      </c>
      <c r="L37" s="35" t="str">
        <f>IF(AND('Mapa de Riesgos'!$Z$31="Baja",'Mapa de Riesgos'!$AB$31="Leve"),CONCATENATE("R2C",'Mapa de Riesgos'!$P$31),"")</f>
        <v/>
      </c>
      <c r="M37" s="35" t="str">
        <f>IF(AND('Mapa de Riesgos'!$Z$32="Baja",'Mapa de Riesgos'!$AB$32="Leve"),CONCATENATE("R2C",'Mapa de Riesgos'!$P$32),"")</f>
        <v/>
      </c>
      <c r="N37" s="35" t="str">
        <f>IF(AND('Mapa de Riesgos'!$Z$33="Baja",'Mapa de Riesgos'!$AB$33="Leve"),CONCATENATE("R2C",'Mapa de Riesgos'!$P$33),"")</f>
        <v/>
      </c>
      <c r="O37" s="36" t="str">
        <f>IF(AND('Mapa de Riesgos'!$Z$34="Baja",'Mapa de Riesgos'!$AB$34="Leve"),CONCATENATE("R2C",'Mapa de Riesgos'!$P$34),"")</f>
        <v/>
      </c>
      <c r="P37" s="25" t="str">
        <f>IF(AND('Mapa de Riesgos'!$Z$29="Baja",'Mapa de Riesgos'!$AB$29="Menor"),CONCATENATE("R2C",'Mapa de Riesgos'!$P$29),"")</f>
        <v/>
      </c>
      <c r="Q37" s="26" t="str">
        <f>IF(AND('Mapa de Riesgos'!$Z$30="Baja",'Mapa de Riesgos'!$AB$30="Menor"),CONCATENATE("R2C",'Mapa de Riesgos'!$P$30),"")</f>
        <v/>
      </c>
      <c r="R37" s="26" t="str">
        <f>IF(AND('Mapa de Riesgos'!$Z$31="Baja",'Mapa de Riesgos'!$AB$31="Menor"),CONCATENATE("R2C",'Mapa de Riesgos'!$P$31),"")</f>
        <v/>
      </c>
      <c r="S37" s="26" t="str">
        <f>IF(AND('Mapa de Riesgos'!$Z$32="Baja",'Mapa de Riesgos'!$AB$32="Menor"),CONCATENATE("R2C",'Mapa de Riesgos'!$P$32),"")</f>
        <v/>
      </c>
      <c r="T37" s="26" t="str">
        <f>IF(AND('Mapa de Riesgos'!$Z$33="Baja",'Mapa de Riesgos'!$AB$33="Menor"),CONCATENATE("R2C",'Mapa de Riesgos'!$P$33),"")</f>
        <v/>
      </c>
      <c r="U37" s="27" t="str">
        <f>IF(AND('Mapa de Riesgos'!$Z$34="Baja",'Mapa de Riesgos'!$AB$34="Menor"),CONCATENATE("R2C",'Mapa de Riesgos'!$P$34),"")</f>
        <v/>
      </c>
      <c r="V37" s="25" t="str">
        <f>IF(AND('Mapa de Riesgos'!$Z$29="Baja",'Mapa de Riesgos'!$AB$29="Moderado"),CONCATENATE("R2C",'Mapa de Riesgos'!$P$29),"")</f>
        <v/>
      </c>
      <c r="W37" s="26" t="str">
        <f>IF(AND('Mapa de Riesgos'!$Z$30="Baja",'Mapa de Riesgos'!$AB$30="Moderado"),CONCATENATE("R2C",'Mapa de Riesgos'!$P$30),"")</f>
        <v/>
      </c>
      <c r="X37" s="26" t="str">
        <f>IF(AND('Mapa de Riesgos'!$Z$31="Baja",'Mapa de Riesgos'!$AB$31="Moderado"),CONCATENATE("R2C",'Mapa de Riesgos'!$P$31),"")</f>
        <v/>
      </c>
      <c r="Y37" s="26" t="str">
        <f>IF(AND('Mapa de Riesgos'!$Z$32="Baja",'Mapa de Riesgos'!$AB$32="Moderado"),CONCATENATE("R2C",'Mapa de Riesgos'!$P$32),"")</f>
        <v/>
      </c>
      <c r="Z37" s="26" t="str">
        <f>IF(AND('Mapa de Riesgos'!$Z$33="Baja",'Mapa de Riesgos'!$AB$33="Moderado"),CONCATENATE("R2C",'Mapa de Riesgos'!$P$33),"")</f>
        <v/>
      </c>
      <c r="AA37" s="27" t="str">
        <f>IF(AND('Mapa de Riesgos'!$Z$34="Baja",'Mapa de Riesgos'!$AB$34="Moderado"),CONCATENATE("R2C",'Mapa de Riesgos'!$P$34),"")</f>
        <v/>
      </c>
      <c r="AB37" s="10" t="str">
        <f>IF(AND('Mapa de Riesgos'!$Z$29="Baja",'Mapa de Riesgos'!$AB$29="Mayor"),CONCATENATE("R2C",'Mapa de Riesgos'!$P$29),"")</f>
        <v/>
      </c>
      <c r="AC37" s="11" t="str">
        <f>IF(AND('Mapa de Riesgos'!$Z$30="Baja",'Mapa de Riesgos'!$AB$30="Mayor"),CONCATENATE("R2C",'Mapa de Riesgos'!$P$30),"")</f>
        <v/>
      </c>
      <c r="AD37" s="11" t="str">
        <f>IF(AND('Mapa de Riesgos'!$Z$31="Baja",'Mapa de Riesgos'!$AB$31="Mayor"),CONCATENATE("R2C",'Mapa de Riesgos'!$P$31),"")</f>
        <v/>
      </c>
      <c r="AE37" s="11" t="str">
        <f>IF(AND('Mapa de Riesgos'!$Z$32="Baja",'Mapa de Riesgos'!$AB$32="Mayor"),CONCATENATE("R2C",'Mapa de Riesgos'!$P$32),"")</f>
        <v/>
      </c>
      <c r="AF37" s="11" t="str">
        <f>IF(AND('Mapa de Riesgos'!$Z$33="Baja",'Mapa de Riesgos'!$AB$33="Mayor"),CONCATENATE("R2C",'Mapa de Riesgos'!$P$33),"")</f>
        <v/>
      </c>
      <c r="AG37" s="12" t="str">
        <f>IF(AND('Mapa de Riesgos'!$Z$34="Baja",'Mapa de Riesgos'!$AB$34="Mayor"),CONCATENATE("R2C",'Mapa de Riesgos'!$P$34),"")</f>
        <v/>
      </c>
      <c r="AH37" s="13" t="str">
        <f>IF(AND('Mapa de Riesgos'!$Z$29="Baja",'Mapa de Riesgos'!$AB$29="Catastrófico"),CONCATENATE("R2C",'Mapa de Riesgos'!$P$29),"")</f>
        <v/>
      </c>
      <c r="AI37" s="14" t="str">
        <f>IF(AND('Mapa de Riesgos'!$Z$30="Baja",'Mapa de Riesgos'!$AB$30="Catastrófico"),CONCATENATE("R2C",'Mapa de Riesgos'!$P$30),"")</f>
        <v/>
      </c>
      <c r="AJ37" s="14" t="str">
        <f>IF(AND('Mapa de Riesgos'!$Z$31="Baja",'Mapa de Riesgos'!$AB$31="Catastrófico"),CONCATENATE("R2C",'Mapa de Riesgos'!$P$31),"")</f>
        <v/>
      </c>
      <c r="AK37" s="14" t="str">
        <f>IF(AND('Mapa de Riesgos'!$Z$32="Baja",'Mapa de Riesgos'!$AB$32="Catastrófico"),CONCATENATE("R2C",'Mapa de Riesgos'!$P$32),"")</f>
        <v/>
      </c>
      <c r="AL37" s="14" t="str">
        <f>IF(AND('Mapa de Riesgos'!$Z$33="Baja",'Mapa de Riesgos'!$AB$33="Catastrófico"),CONCATENATE("R2C",'Mapa de Riesgos'!$P$33),"")</f>
        <v/>
      </c>
      <c r="AM37" s="15" t="str">
        <f>IF(AND('Mapa de Riesgos'!$Z$34="Baja",'Mapa de Riesgos'!$AB$34="Catastrófico"),CONCATENATE("R2C",'Mapa de Riesgos'!$P$34),"")</f>
        <v/>
      </c>
      <c r="AN37" s="41"/>
      <c r="AO37" s="459"/>
      <c r="AP37" s="460"/>
      <c r="AQ37" s="460"/>
      <c r="AR37" s="460"/>
      <c r="AS37" s="460"/>
      <c r="AT37" s="46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row>
    <row r="38" spans="1:80" ht="15" customHeight="1" x14ac:dyDescent="0.25">
      <c r="A38" s="41"/>
      <c r="B38" s="340"/>
      <c r="C38" s="340"/>
      <c r="D38" s="341"/>
      <c r="E38" s="439"/>
      <c r="F38" s="438"/>
      <c r="G38" s="438"/>
      <c r="H38" s="438"/>
      <c r="I38" s="438"/>
      <c r="J38" s="34" t="str">
        <f>IF(AND('Mapa de Riesgos'!$Z$35="Baja",'Mapa de Riesgos'!$AB$35="Leve"),CONCATENATE("R3C",'Mapa de Riesgos'!$P$35),"")</f>
        <v/>
      </c>
      <c r="K38" s="35" t="str">
        <f>IF(AND('Mapa de Riesgos'!$Z$36="Baja",'Mapa de Riesgos'!$AB$36="Leve"),CONCATENATE("R3C",'Mapa de Riesgos'!$P$36),"")</f>
        <v/>
      </c>
      <c r="L38" s="35" t="str">
        <f>IF(AND('Mapa de Riesgos'!$Z$37="Baja",'Mapa de Riesgos'!$AB$37="Leve"),CONCATENATE("R3C",'Mapa de Riesgos'!$P$37),"")</f>
        <v/>
      </c>
      <c r="M38" s="35" t="str">
        <f>IF(AND('Mapa de Riesgos'!$Z$38="Baja",'Mapa de Riesgos'!$AB$38="Leve"),CONCATENATE("R3C",'Mapa de Riesgos'!$P$38),"")</f>
        <v/>
      </c>
      <c r="N38" s="35" t="str">
        <f>IF(AND('Mapa de Riesgos'!$Z$39="Baja",'Mapa de Riesgos'!$AB$39="Leve"),CONCATENATE("R3C",'Mapa de Riesgos'!$P$39),"")</f>
        <v/>
      </c>
      <c r="O38" s="36" t="str">
        <f>IF(AND('Mapa de Riesgos'!$Z$40="Baja",'Mapa de Riesgos'!$AB$40="Leve"),CONCATENATE("R3C",'Mapa de Riesgos'!$P$40),"")</f>
        <v/>
      </c>
      <c r="P38" s="25" t="str">
        <f>IF(AND('Mapa de Riesgos'!$Z$35="Baja",'Mapa de Riesgos'!$AB$35="Menor"),CONCATENATE("R3C",'Mapa de Riesgos'!$P$35),"")</f>
        <v/>
      </c>
      <c r="Q38" s="26" t="str">
        <f>IF(AND('Mapa de Riesgos'!$Z$36="Baja",'Mapa de Riesgos'!$AB$36="Menor"),CONCATENATE("R3C",'Mapa de Riesgos'!$P$36),"")</f>
        <v/>
      </c>
      <c r="R38" s="26" t="str">
        <f>IF(AND('Mapa de Riesgos'!$Z$37="Baja",'Mapa de Riesgos'!$AB$37="Menor"),CONCATENATE("R3C",'Mapa de Riesgos'!$P$37),"")</f>
        <v/>
      </c>
      <c r="S38" s="26" t="str">
        <f>IF(AND('Mapa de Riesgos'!$Z$38="Baja",'Mapa de Riesgos'!$AB$38="Menor"),CONCATENATE("R3C",'Mapa de Riesgos'!$P$38),"")</f>
        <v/>
      </c>
      <c r="T38" s="26" t="str">
        <f>IF(AND('Mapa de Riesgos'!$Z$39="Baja",'Mapa de Riesgos'!$AB$39="Menor"),CONCATENATE("R3C",'Mapa de Riesgos'!$P$39),"")</f>
        <v/>
      </c>
      <c r="U38" s="27" t="str">
        <f>IF(AND('Mapa de Riesgos'!$Z$40="Baja",'Mapa de Riesgos'!$AB$40="Menor"),CONCATENATE("R3C",'Mapa de Riesgos'!$P$40),"")</f>
        <v/>
      </c>
      <c r="V38" s="25" t="str">
        <f>IF(AND('Mapa de Riesgos'!$Z$35="Baja",'Mapa de Riesgos'!$AB$35="Moderado"),CONCATENATE("R3C",'Mapa de Riesgos'!$P$35),"")</f>
        <v/>
      </c>
      <c r="W38" s="26" t="str">
        <f>IF(AND('Mapa de Riesgos'!$Z$36="Baja",'Mapa de Riesgos'!$AB$36="Moderado"),CONCATENATE("R3C",'Mapa de Riesgos'!$P$36),"")</f>
        <v/>
      </c>
      <c r="X38" s="26" t="str">
        <f>IF(AND('Mapa de Riesgos'!$Z$37="Baja",'Mapa de Riesgos'!$AB$37="Moderado"),CONCATENATE("R3C",'Mapa de Riesgos'!$P$37),"")</f>
        <v/>
      </c>
      <c r="Y38" s="26" t="str">
        <f>IF(AND('Mapa de Riesgos'!$Z$38="Baja",'Mapa de Riesgos'!$AB$38="Moderado"),CONCATENATE("R3C",'Mapa de Riesgos'!$P$38),"")</f>
        <v/>
      </c>
      <c r="Z38" s="26" t="str">
        <f>IF(AND('Mapa de Riesgos'!$Z$39="Baja",'Mapa de Riesgos'!$AB$39="Moderado"),CONCATENATE("R3C",'Mapa de Riesgos'!$P$39),"")</f>
        <v/>
      </c>
      <c r="AA38" s="27" t="str">
        <f>IF(AND('Mapa de Riesgos'!$Z$40="Baja",'Mapa de Riesgos'!$AB$40="Moderado"),CONCATENATE("R3C",'Mapa de Riesgos'!$P$40),"")</f>
        <v/>
      </c>
      <c r="AB38" s="10" t="str">
        <f>IF(AND('Mapa de Riesgos'!$Z$35="Baja",'Mapa de Riesgos'!$AB$35="Mayor"),CONCATENATE("R3C",'Mapa de Riesgos'!$P$35),"")</f>
        <v/>
      </c>
      <c r="AC38" s="11" t="str">
        <f>IF(AND('Mapa de Riesgos'!$Z$36="Baja",'Mapa de Riesgos'!$AB$36="Mayor"),CONCATENATE("R3C",'Mapa de Riesgos'!$P$36),"")</f>
        <v/>
      </c>
      <c r="AD38" s="11" t="str">
        <f>IF(AND('Mapa de Riesgos'!$Z$37="Baja",'Mapa de Riesgos'!$AB$37="Mayor"),CONCATENATE("R3C",'Mapa de Riesgos'!$P$37),"")</f>
        <v/>
      </c>
      <c r="AE38" s="11" t="str">
        <f>IF(AND('Mapa de Riesgos'!$Z$38="Baja",'Mapa de Riesgos'!$AB$38="Mayor"),CONCATENATE("R3C",'Mapa de Riesgos'!$P$38),"")</f>
        <v/>
      </c>
      <c r="AF38" s="11" t="str">
        <f>IF(AND('Mapa de Riesgos'!$Z$39="Baja",'Mapa de Riesgos'!$AB$39="Mayor"),CONCATENATE("R3C",'Mapa de Riesgos'!$P$39),"")</f>
        <v/>
      </c>
      <c r="AG38" s="12" t="str">
        <f>IF(AND('Mapa de Riesgos'!$Z$40="Baja",'Mapa de Riesgos'!$AB$40="Mayor"),CONCATENATE("R3C",'Mapa de Riesgos'!$P$40),"")</f>
        <v/>
      </c>
      <c r="AH38" s="13" t="str">
        <f>IF(AND('Mapa de Riesgos'!$Z$35="Baja",'Mapa de Riesgos'!$AB$35="Catastrófico"),CONCATENATE("R3C",'Mapa de Riesgos'!$P$35),"")</f>
        <v/>
      </c>
      <c r="AI38" s="14" t="str">
        <f>IF(AND('Mapa de Riesgos'!$Z$36="Baja",'Mapa de Riesgos'!$AB$36="Catastrófico"),CONCATENATE("R3C",'Mapa de Riesgos'!$P$36),"")</f>
        <v/>
      </c>
      <c r="AJ38" s="14" t="str">
        <f>IF(AND('Mapa de Riesgos'!$Z$37="Baja",'Mapa de Riesgos'!$AB$37="Catastrófico"),CONCATENATE("R3C",'Mapa de Riesgos'!$P$37),"")</f>
        <v/>
      </c>
      <c r="AK38" s="14" t="str">
        <f>IF(AND('Mapa de Riesgos'!$Z$38="Baja",'Mapa de Riesgos'!$AB$38="Catastrófico"),CONCATENATE("R3C",'Mapa de Riesgos'!$P$38),"")</f>
        <v/>
      </c>
      <c r="AL38" s="14" t="str">
        <f>IF(AND('Mapa de Riesgos'!$Z$39="Baja",'Mapa de Riesgos'!$AB$39="Catastrófico"),CONCATENATE("R3C",'Mapa de Riesgos'!$P$39),"")</f>
        <v/>
      </c>
      <c r="AM38" s="15" t="str">
        <f>IF(AND('Mapa de Riesgos'!$Z$40="Baja",'Mapa de Riesgos'!$AB$40="Catastrófico"),CONCATENATE("R3C",'Mapa de Riesgos'!$P$40),"")</f>
        <v/>
      </c>
      <c r="AN38" s="41"/>
      <c r="AO38" s="459"/>
      <c r="AP38" s="460"/>
      <c r="AQ38" s="460"/>
      <c r="AR38" s="460"/>
      <c r="AS38" s="460"/>
      <c r="AT38" s="46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row>
    <row r="39" spans="1:80" ht="15" customHeight="1" x14ac:dyDescent="0.25">
      <c r="A39" s="41"/>
      <c r="B39" s="340"/>
      <c r="C39" s="340"/>
      <c r="D39" s="341"/>
      <c r="E39" s="439"/>
      <c r="F39" s="438"/>
      <c r="G39" s="438"/>
      <c r="H39" s="438"/>
      <c r="I39" s="438"/>
      <c r="J39" s="34" t="str">
        <f>IF(AND('Mapa de Riesgos'!$Z$47="Baja",'Mapa de Riesgos'!$AB$47="Leve"),CONCATENATE("R4C",'Mapa de Riesgos'!$P$47),"")</f>
        <v/>
      </c>
      <c r="K39" s="35" t="str">
        <f>IF(AND('Mapa de Riesgos'!$Z$48="Baja",'Mapa de Riesgos'!$AB$48="Leve"),CONCATENATE("R4C",'Mapa de Riesgos'!$P$48),"")</f>
        <v/>
      </c>
      <c r="L39" s="35" t="str">
        <f>IF(AND('Mapa de Riesgos'!$Z$49="Baja",'Mapa de Riesgos'!$AB$49="Leve"),CONCATENATE("R4C",'Mapa de Riesgos'!$P$49),"")</f>
        <v/>
      </c>
      <c r="M39" s="35" t="str">
        <f>IF(AND('Mapa de Riesgos'!$Z$50="Baja",'Mapa de Riesgos'!$AB$50="Leve"),CONCATENATE("R4C",'Mapa de Riesgos'!$P$50),"")</f>
        <v/>
      </c>
      <c r="N39" s="35" t="str">
        <f>IF(AND('Mapa de Riesgos'!$Z$51="Baja",'Mapa de Riesgos'!$AB$51="Leve"),CONCATENATE("R4C",'Mapa de Riesgos'!$P$51),"")</f>
        <v/>
      </c>
      <c r="O39" s="36" t="str">
        <f>IF(AND('Mapa de Riesgos'!$Z$52="Baja",'Mapa de Riesgos'!$AB$52="Leve"),CONCATENATE("R4C",'Mapa de Riesgos'!$P$52),"")</f>
        <v/>
      </c>
      <c r="P39" s="25" t="str">
        <f>IF(AND('Mapa de Riesgos'!$Z$47="Baja",'Mapa de Riesgos'!$AB$47="Menor"),CONCATENATE("R4C",'Mapa de Riesgos'!$P$47),"")</f>
        <v/>
      </c>
      <c r="Q39" s="26" t="str">
        <f>IF(AND('Mapa de Riesgos'!$Z$48="Baja",'Mapa de Riesgos'!$AB$48="Menor"),CONCATENATE("R4C",'Mapa de Riesgos'!$P$48),"")</f>
        <v/>
      </c>
      <c r="R39" s="26" t="str">
        <f>IF(AND('Mapa de Riesgos'!$Z$49="Baja",'Mapa de Riesgos'!$AB$49="Menor"),CONCATENATE("R4C",'Mapa de Riesgos'!$P$49),"")</f>
        <v/>
      </c>
      <c r="S39" s="26" t="str">
        <f>IF(AND('Mapa de Riesgos'!$Z$50="Baja",'Mapa de Riesgos'!$AB$50="Menor"),CONCATENATE("R4C",'Mapa de Riesgos'!$P$50),"")</f>
        <v/>
      </c>
      <c r="T39" s="26" t="str">
        <f>IF(AND('Mapa de Riesgos'!$Z$51="Baja",'Mapa de Riesgos'!$AB$51="Menor"),CONCATENATE("R4C",'Mapa de Riesgos'!$P$51),"")</f>
        <v/>
      </c>
      <c r="U39" s="27" t="str">
        <f>IF(AND('Mapa de Riesgos'!$Z$52="Baja",'Mapa de Riesgos'!$AB$52="Menor"),CONCATENATE("R4C",'Mapa de Riesgos'!$P$52),"")</f>
        <v/>
      </c>
      <c r="V39" s="25" t="str">
        <f>IF(AND('Mapa de Riesgos'!$Z$47="Baja",'Mapa de Riesgos'!$AB$47="Moderado"),CONCATENATE("R4C",'Mapa de Riesgos'!$P$47),"")</f>
        <v/>
      </c>
      <c r="W39" s="26" t="str">
        <f>IF(AND('Mapa de Riesgos'!$Z$48="Baja",'Mapa de Riesgos'!$AB$48="Moderado"),CONCATENATE("R4C",'Mapa de Riesgos'!$P$48),"")</f>
        <v/>
      </c>
      <c r="X39" s="26" t="str">
        <f>IF(AND('Mapa de Riesgos'!$Z$49="Baja",'Mapa de Riesgos'!$AB$49="Moderado"),CONCATENATE("R4C",'Mapa de Riesgos'!$P$49),"")</f>
        <v/>
      </c>
      <c r="Y39" s="26" t="str">
        <f>IF(AND('Mapa de Riesgos'!$Z$50="Baja",'Mapa de Riesgos'!$AB$50="Moderado"),CONCATENATE("R4C",'Mapa de Riesgos'!$P$50),"")</f>
        <v/>
      </c>
      <c r="Z39" s="26" t="str">
        <f>IF(AND('Mapa de Riesgos'!$Z$51="Baja",'Mapa de Riesgos'!$AB$51="Moderado"),CONCATENATE("R4C",'Mapa de Riesgos'!$P$51),"")</f>
        <v/>
      </c>
      <c r="AA39" s="27" t="str">
        <f>IF(AND('Mapa de Riesgos'!$Z$52="Baja",'Mapa de Riesgos'!$AB$52="Moderado"),CONCATENATE("R4C",'Mapa de Riesgos'!$P$52),"")</f>
        <v/>
      </c>
      <c r="AB39" s="10" t="str">
        <f>IF(AND('Mapa de Riesgos'!$Z$47="Baja",'Mapa de Riesgos'!$AB$47="Mayor"),CONCATENATE("R4C",'Mapa de Riesgos'!$P$47),"")</f>
        <v/>
      </c>
      <c r="AC39" s="11" t="str">
        <f>IF(AND('Mapa de Riesgos'!$Z$48="Baja",'Mapa de Riesgos'!$AB$48="Mayor"),CONCATENATE("R4C",'Mapa de Riesgos'!$P$48),"")</f>
        <v/>
      </c>
      <c r="AD39" s="11" t="str">
        <f>IF(AND('Mapa de Riesgos'!$Z$49="Baja",'Mapa de Riesgos'!$AB$49="Mayor"),CONCATENATE("R4C",'Mapa de Riesgos'!$P$49),"")</f>
        <v/>
      </c>
      <c r="AE39" s="11" t="str">
        <f>IF(AND('Mapa de Riesgos'!$Z$50="Baja",'Mapa de Riesgos'!$AB$50="Mayor"),CONCATENATE("R4C",'Mapa de Riesgos'!$P$50),"")</f>
        <v/>
      </c>
      <c r="AF39" s="11" t="str">
        <f>IF(AND('Mapa de Riesgos'!$Z$51="Baja",'Mapa de Riesgos'!$AB$51="Mayor"),CONCATENATE("R4C",'Mapa de Riesgos'!$P$51),"")</f>
        <v/>
      </c>
      <c r="AG39" s="12" t="str">
        <f>IF(AND('Mapa de Riesgos'!$Z$52="Baja",'Mapa de Riesgos'!$AB$52="Mayor"),CONCATENATE("R4C",'Mapa de Riesgos'!$P$52),"")</f>
        <v/>
      </c>
      <c r="AH39" s="13" t="str">
        <f>IF(AND('Mapa de Riesgos'!$Z$47="Baja",'Mapa de Riesgos'!$AB$47="Catastrófico"),CONCATENATE("R4C",'Mapa de Riesgos'!$P$47),"")</f>
        <v/>
      </c>
      <c r="AI39" s="14" t="str">
        <f>IF(AND('Mapa de Riesgos'!$Z$48="Baja",'Mapa de Riesgos'!$AB$48="Catastrófico"),CONCATENATE("R4C",'Mapa de Riesgos'!$P$48),"")</f>
        <v/>
      </c>
      <c r="AJ39" s="14" t="str">
        <f>IF(AND('Mapa de Riesgos'!$Z$49="Baja",'Mapa de Riesgos'!$AB$49="Catastrófico"),CONCATENATE("R4C",'Mapa de Riesgos'!$P$49),"")</f>
        <v/>
      </c>
      <c r="AK39" s="14" t="str">
        <f>IF(AND('Mapa de Riesgos'!$Z$50="Baja",'Mapa de Riesgos'!$AB$50="Catastrófico"),CONCATENATE("R4C",'Mapa de Riesgos'!$P$50),"")</f>
        <v/>
      </c>
      <c r="AL39" s="14" t="str">
        <f>IF(AND('Mapa de Riesgos'!$Z$51="Baja",'Mapa de Riesgos'!$AB$51="Catastrófico"),CONCATENATE("R4C",'Mapa de Riesgos'!$P$51),"")</f>
        <v/>
      </c>
      <c r="AM39" s="15" t="str">
        <f>IF(AND('Mapa de Riesgos'!$Z$52="Baja",'Mapa de Riesgos'!$AB$52="Catastrófico"),CONCATENATE("R4C",'Mapa de Riesgos'!$P$52),"")</f>
        <v/>
      </c>
      <c r="AN39" s="41"/>
      <c r="AO39" s="459"/>
      <c r="AP39" s="460"/>
      <c r="AQ39" s="460"/>
      <c r="AR39" s="460"/>
      <c r="AS39" s="460"/>
      <c r="AT39" s="46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row>
    <row r="40" spans="1:80" ht="15" customHeight="1" x14ac:dyDescent="0.25">
      <c r="A40" s="41"/>
      <c r="B40" s="340"/>
      <c r="C40" s="340"/>
      <c r="D40" s="341"/>
      <c r="E40" s="439"/>
      <c r="F40" s="438"/>
      <c r="G40" s="438"/>
      <c r="H40" s="438"/>
      <c r="I40" s="438"/>
      <c r="J40" s="34" t="e">
        <f>IF(AND('Mapa de Riesgos'!#REF!="Baja",'Mapa de Riesgos'!#REF!="Leve"),CONCATENATE("R5C",'Mapa de Riesgos'!#REF!),"")</f>
        <v>#REF!</v>
      </c>
      <c r="K40" s="35" t="e">
        <f>IF(AND('Mapa de Riesgos'!#REF!="Baja",'Mapa de Riesgos'!#REF!="Leve"),CONCATENATE("R5C",'Mapa de Riesgos'!#REF!),"")</f>
        <v>#REF!</v>
      </c>
      <c r="L40" s="35" t="e">
        <f>IF(AND('Mapa de Riesgos'!#REF!="Baja",'Mapa de Riesgos'!#REF!="Leve"),CONCATENATE("R5C",'Mapa de Riesgos'!#REF!),"")</f>
        <v>#REF!</v>
      </c>
      <c r="M40" s="35" t="e">
        <f>IF(AND('Mapa de Riesgos'!#REF!="Baja",'Mapa de Riesgos'!#REF!="Leve"),CONCATENATE("R5C",'Mapa de Riesgos'!#REF!),"")</f>
        <v>#REF!</v>
      </c>
      <c r="N40" s="35" t="e">
        <f>IF(AND('Mapa de Riesgos'!#REF!="Baja",'Mapa de Riesgos'!#REF!="Leve"),CONCATENATE("R5C",'Mapa de Riesgos'!#REF!),"")</f>
        <v>#REF!</v>
      </c>
      <c r="O40" s="36" t="e">
        <f>IF(AND('Mapa de Riesgos'!#REF!="Baja",'Mapa de Riesgos'!#REF!="Leve"),CONCATENATE("R5C",'Mapa de Riesgos'!#REF!),"")</f>
        <v>#REF!</v>
      </c>
      <c r="P40" s="25" t="e">
        <f>IF(AND('Mapa de Riesgos'!#REF!="Baja",'Mapa de Riesgos'!#REF!="Menor"),CONCATENATE("R5C",'Mapa de Riesgos'!#REF!),"")</f>
        <v>#REF!</v>
      </c>
      <c r="Q40" s="26" t="e">
        <f>IF(AND('Mapa de Riesgos'!#REF!="Baja",'Mapa de Riesgos'!#REF!="Menor"),CONCATENATE("R5C",'Mapa de Riesgos'!#REF!),"")</f>
        <v>#REF!</v>
      </c>
      <c r="R40" s="26" t="e">
        <f>IF(AND('Mapa de Riesgos'!#REF!="Baja",'Mapa de Riesgos'!#REF!="Menor"),CONCATENATE("R5C",'Mapa de Riesgos'!#REF!),"")</f>
        <v>#REF!</v>
      </c>
      <c r="S40" s="26" t="e">
        <f>IF(AND('Mapa de Riesgos'!#REF!="Baja",'Mapa de Riesgos'!#REF!="Menor"),CONCATENATE("R5C",'Mapa de Riesgos'!#REF!),"")</f>
        <v>#REF!</v>
      </c>
      <c r="T40" s="26" t="e">
        <f>IF(AND('Mapa de Riesgos'!#REF!="Baja",'Mapa de Riesgos'!#REF!="Menor"),CONCATENATE("R5C",'Mapa de Riesgos'!#REF!),"")</f>
        <v>#REF!</v>
      </c>
      <c r="U40" s="27" t="e">
        <f>IF(AND('Mapa de Riesgos'!#REF!="Baja",'Mapa de Riesgos'!#REF!="Menor"),CONCATENATE("R5C",'Mapa de Riesgos'!#REF!),"")</f>
        <v>#REF!</v>
      </c>
      <c r="V40" s="25" t="e">
        <f>IF(AND('Mapa de Riesgos'!#REF!="Baja",'Mapa de Riesgos'!#REF!="Moderado"),CONCATENATE("R5C",'Mapa de Riesgos'!#REF!),"")</f>
        <v>#REF!</v>
      </c>
      <c r="W40" s="26" t="e">
        <f>IF(AND('Mapa de Riesgos'!#REF!="Baja",'Mapa de Riesgos'!#REF!="Moderado"),CONCATENATE("R5C",'Mapa de Riesgos'!#REF!),"")</f>
        <v>#REF!</v>
      </c>
      <c r="X40" s="26" t="e">
        <f>IF(AND('Mapa de Riesgos'!#REF!="Baja",'Mapa de Riesgos'!#REF!="Moderado"),CONCATENATE("R5C",'Mapa de Riesgos'!#REF!),"")</f>
        <v>#REF!</v>
      </c>
      <c r="Y40" s="26" t="e">
        <f>IF(AND('Mapa de Riesgos'!#REF!="Baja",'Mapa de Riesgos'!#REF!="Moderado"),CONCATENATE("R5C",'Mapa de Riesgos'!#REF!),"")</f>
        <v>#REF!</v>
      </c>
      <c r="Z40" s="26" t="e">
        <f>IF(AND('Mapa de Riesgos'!#REF!="Baja",'Mapa de Riesgos'!#REF!="Moderado"),CONCATENATE("R5C",'Mapa de Riesgos'!#REF!),"")</f>
        <v>#REF!</v>
      </c>
      <c r="AA40" s="27" t="e">
        <f>IF(AND('Mapa de Riesgos'!#REF!="Baja",'Mapa de Riesgos'!#REF!="Moderado"),CONCATENATE("R5C",'Mapa de Riesgos'!#REF!),"")</f>
        <v>#REF!</v>
      </c>
      <c r="AB40" s="10" t="e">
        <f>IF(AND('Mapa de Riesgos'!#REF!="Baja",'Mapa de Riesgos'!#REF!="Mayor"),CONCATENATE("R5C",'Mapa de Riesgos'!#REF!),"")</f>
        <v>#REF!</v>
      </c>
      <c r="AC40" s="11" t="e">
        <f>IF(AND('Mapa de Riesgos'!#REF!="Baja",'Mapa de Riesgos'!#REF!="Mayor"),CONCATENATE("R5C",'Mapa de Riesgos'!#REF!),"")</f>
        <v>#REF!</v>
      </c>
      <c r="AD40" s="11" t="e">
        <f>IF(AND('Mapa de Riesgos'!#REF!="Baja",'Mapa de Riesgos'!#REF!="Mayor"),CONCATENATE("R5C",'Mapa de Riesgos'!#REF!),"")</f>
        <v>#REF!</v>
      </c>
      <c r="AE40" s="11" t="e">
        <f>IF(AND('Mapa de Riesgos'!#REF!="Baja",'Mapa de Riesgos'!#REF!="Mayor"),CONCATENATE("R5C",'Mapa de Riesgos'!#REF!),"")</f>
        <v>#REF!</v>
      </c>
      <c r="AF40" s="11" t="e">
        <f>IF(AND('Mapa de Riesgos'!#REF!="Baja",'Mapa de Riesgos'!#REF!="Mayor"),CONCATENATE("R5C",'Mapa de Riesgos'!#REF!),"")</f>
        <v>#REF!</v>
      </c>
      <c r="AG40" s="12" t="e">
        <f>IF(AND('Mapa de Riesgos'!#REF!="Baja",'Mapa de Riesgos'!#REF!="Mayor"),CONCATENATE("R5C",'Mapa de Riesgos'!#REF!),"")</f>
        <v>#REF!</v>
      </c>
      <c r="AH40" s="13" t="e">
        <f>IF(AND('Mapa de Riesgos'!#REF!="Baja",'Mapa de Riesgos'!#REF!="Catastrófico"),CONCATENATE("R5C",'Mapa de Riesgos'!#REF!),"")</f>
        <v>#REF!</v>
      </c>
      <c r="AI40" s="14" t="e">
        <f>IF(AND('Mapa de Riesgos'!#REF!="Baja",'Mapa de Riesgos'!#REF!="Catastrófico"),CONCATENATE("R5C",'Mapa de Riesgos'!#REF!),"")</f>
        <v>#REF!</v>
      </c>
      <c r="AJ40" s="14" t="e">
        <f>IF(AND('Mapa de Riesgos'!#REF!="Baja",'Mapa de Riesgos'!#REF!="Catastrófico"),CONCATENATE("R5C",'Mapa de Riesgos'!#REF!),"")</f>
        <v>#REF!</v>
      </c>
      <c r="AK40" s="14" t="e">
        <f>IF(AND('Mapa de Riesgos'!#REF!="Baja",'Mapa de Riesgos'!#REF!="Catastrófico"),CONCATENATE("R5C",'Mapa de Riesgos'!#REF!),"")</f>
        <v>#REF!</v>
      </c>
      <c r="AL40" s="14" t="e">
        <f>IF(AND('Mapa de Riesgos'!#REF!="Baja",'Mapa de Riesgos'!#REF!="Catastrófico"),CONCATENATE("R5C",'Mapa de Riesgos'!#REF!),"")</f>
        <v>#REF!</v>
      </c>
      <c r="AM40" s="15" t="e">
        <f>IF(AND('Mapa de Riesgos'!#REF!="Baja",'Mapa de Riesgos'!#REF!="Catastrófico"),CONCATENATE("R5C",'Mapa de Riesgos'!#REF!),"")</f>
        <v>#REF!</v>
      </c>
      <c r="AN40" s="41"/>
      <c r="AO40" s="459"/>
      <c r="AP40" s="460"/>
      <c r="AQ40" s="460"/>
      <c r="AR40" s="460"/>
      <c r="AS40" s="460"/>
      <c r="AT40" s="46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row>
    <row r="41" spans="1:80" ht="15" customHeight="1" x14ac:dyDescent="0.25">
      <c r="A41" s="41"/>
      <c r="B41" s="340"/>
      <c r="C41" s="340"/>
      <c r="D41" s="341"/>
      <c r="E41" s="439"/>
      <c r="F41" s="438"/>
      <c r="G41" s="438"/>
      <c r="H41" s="438"/>
      <c r="I41" s="438"/>
      <c r="J41" s="34" t="str">
        <f>IF(AND('Mapa de Riesgos'!$Z$53="Baja",'Mapa de Riesgos'!$AB$53="Leve"),CONCATENATE("R6C",'Mapa de Riesgos'!$P$53),"")</f>
        <v/>
      </c>
      <c r="K41" s="35" t="str">
        <f>IF(AND('Mapa de Riesgos'!$Z$54="Baja",'Mapa de Riesgos'!$AB$54="Leve"),CONCATENATE("R6C",'Mapa de Riesgos'!$P$54),"")</f>
        <v/>
      </c>
      <c r="L41" s="35" t="str">
        <f>IF(AND('Mapa de Riesgos'!$Z$55="Baja",'Mapa de Riesgos'!$AB$55="Leve"),CONCATENATE("R6C",'Mapa de Riesgos'!$P$55),"")</f>
        <v/>
      </c>
      <c r="M41" s="35" t="str">
        <f>IF(AND('Mapa de Riesgos'!$Z$56="Baja",'Mapa de Riesgos'!$AB$56="Leve"),CONCATENATE("R6C",'Mapa de Riesgos'!$P$56),"")</f>
        <v/>
      </c>
      <c r="N41" s="35" t="str">
        <f>IF(AND('Mapa de Riesgos'!$Z$57="Baja",'Mapa de Riesgos'!$AB$57="Leve"),CONCATENATE("R6C",'Mapa de Riesgos'!$P$57),"")</f>
        <v/>
      </c>
      <c r="O41" s="36" t="str">
        <f>IF(AND('Mapa de Riesgos'!$Z$58="Baja",'Mapa de Riesgos'!$AB$58="Leve"),CONCATENATE("R6C",'Mapa de Riesgos'!$P$58),"")</f>
        <v/>
      </c>
      <c r="P41" s="25" t="str">
        <f>IF(AND('Mapa de Riesgos'!$Z$53="Baja",'Mapa de Riesgos'!$AB$53="Menor"),CONCATENATE("R6C",'Mapa de Riesgos'!$P$53),"")</f>
        <v/>
      </c>
      <c r="Q41" s="26" t="str">
        <f>IF(AND('Mapa de Riesgos'!$Z$54="Baja",'Mapa de Riesgos'!$AB$54="Menor"),CONCATENATE("R6C",'Mapa de Riesgos'!$P$54),"")</f>
        <v/>
      </c>
      <c r="R41" s="26" t="str">
        <f>IF(AND('Mapa de Riesgos'!$Z$55="Baja",'Mapa de Riesgos'!$AB$55="Menor"),CONCATENATE("R6C",'Mapa de Riesgos'!$P$55),"")</f>
        <v/>
      </c>
      <c r="S41" s="26" t="str">
        <f>IF(AND('Mapa de Riesgos'!$Z$56="Baja",'Mapa de Riesgos'!$AB$56="Menor"),CONCATENATE("R6C",'Mapa de Riesgos'!$P$56),"")</f>
        <v/>
      </c>
      <c r="T41" s="26" t="str">
        <f>IF(AND('Mapa de Riesgos'!$Z$57="Baja",'Mapa de Riesgos'!$AB$57="Menor"),CONCATENATE("R6C",'Mapa de Riesgos'!$P$57),"")</f>
        <v/>
      </c>
      <c r="U41" s="27" t="str">
        <f>IF(AND('Mapa de Riesgos'!$Z$58="Baja",'Mapa de Riesgos'!$AB$58="Menor"),CONCATENATE("R6C",'Mapa de Riesgos'!$P$58),"")</f>
        <v/>
      </c>
      <c r="V41" s="25" t="str">
        <f>IF(AND('Mapa de Riesgos'!$Z$53="Baja",'Mapa de Riesgos'!$AB$53="Moderado"),CONCATENATE("R6C",'Mapa de Riesgos'!$P$53),"")</f>
        <v/>
      </c>
      <c r="W41" s="26" t="str">
        <f>IF(AND('Mapa de Riesgos'!$Z$54="Baja",'Mapa de Riesgos'!$AB$54="Moderado"),CONCATENATE("R6C",'Mapa de Riesgos'!$P$54),"")</f>
        <v/>
      </c>
      <c r="X41" s="26" t="str">
        <f>IF(AND('Mapa de Riesgos'!$Z$55="Baja",'Mapa de Riesgos'!$AB$55="Moderado"),CONCATENATE("R6C",'Mapa de Riesgos'!$P$55),"")</f>
        <v/>
      </c>
      <c r="Y41" s="26" t="str">
        <f>IF(AND('Mapa de Riesgos'!$Z$56="Baja",'Mapa de Riesgos'!$AB$56="Moderado"),CONCATENATE("R6C",'Mapa de Riesgos'!$P$56),"")</f>
        <v/>
      </c>
      <c r="Z41" s="26" t="str">
        <f>IF(AND('Mapa de Riesgos'!$Z$57="Baja",'Mapa de Riesgos'!$AB$57="Moderado"),CONCATENATE("R6C",'Mapa de Riesgos'!$P$57),"")</f>
        <v/>
      </c>
      <c r="AA41" s="27" t="str">
        <f>IF(AND('Mapa de Riesgos'!$Z$58="Baja",'Mapa de Riesgos'!$AB$58="Moderado"),CONCATENATE("R6C",'Mapa de Riesgos'!$P$58),"")</f>
        <v/>
      </c>
      <c r="AB41" s="10" t="str">
        <f>IF(AND('Mapa de Riesgos'!$Z$53="Baja",'Mapa de Riesgos'!$AB$53="Mayor"),CONCATENATE("R6C",'Mapa de Riesgos'!$P$53),"")</f>
        <v/>
      </c>
      <c r="AC41" s="11" t="str">
        <f>IF(AND('Mapa de Riesgos'!$Z$54="Baja",'Mapa de Riesgos'!$AB$54="Mayor"),CONCATENATE("R6C",'Mapa de Riesgos'!$P$54),"")</f>
        <v/>
      </c>
      <c r="AD41" s="11" t="str">
        <f>IF(AND('Mapa de Riesgos'!$Z$55="Baja",'Mapa de Riesgos'!$AB$55="Mayor"),CONCATENATE("R6C",'Mapa de Riesgos'!$P$55),"")</f>
        <v/>
      </c>
      <c r="AE41" s="11" t="str">
        <f>IF(AND('Mapa de Riesgos'!$Z$56="Baja",'Mapa de Riesgos'!$AB$56="Mayor"),CONCATENATE("R6C",'Mapa de Riesgos'!$P$56),"")</f>
        <v/>
      </c>
      <c r="AF41" s="11" t="str">
        <f>IF(AND('Mapa de Riesgos'!$Z$57="Baja",'Mapa de Riesgos'!$AB$57="Mayor"),CONCATENATE("R6C",'Mapa de Riesgos'!$P$57),"")</f>
        <v/>
      </c>
      <c r="AG41" s="12" t="str">
        <f>IF(AND('Mapa de Riesgos'!$Z$58="Baja",'Mapa de Riesgos'!$AB$58="Mayor"),CONCATENATE("R6C",'Mapa de Riesgos'!$P$58),"")</f>
        <v/>
      </c>
      <c r="AH41" s="13" t="str">
        <f>IF(AND('Mapa de Riesgos'!$Z$53="Baja",'Mapa de Riesgos'!$AB$53="Catastrófico"),CONCATENATE("R6C",'Mapa de Riesgos'!$P$53),"")</f>
        <v/>
      </c>
      <c r="AI41" s="14" t="str">
        <f>IF(AND('Mapa de Riesgos'!$Z$54="Baja",'Mapa de Riesgos'!$AB$54="Catastrófico"),CONCATENATE("R6C",'Mapa de Riesgos'!$P$54),"")</f>
        <v/>
      </c>
      <c r="AJ41" s="14" t="str">
        <f>IF(AND('Mapa de Riesgos'!$Z$55="Baja",'Mapa de Riesgos'!$AB$55="Catastrófico"),CONCATENATE("R6C",'Mapa de Riesgos'!$P$55),"")</f>
        <v/>
      </c>
      <c r="AK41" s="14" t="str">
        <f>IF(AND('Mapa de Riesgos'!$Z$56="Baja",'Mapa de Riesgos'!$AB$56="Catastrófico"),CONCATENATE("R6C",'Mapa de Riesgos'!$P$56),"")</f>
        <v/>
      </c>
      <c r="AL41" s="14" t="str">
        <f>IF(AND('Mapa de Riesgos'!$Z$57="Baja",'Mapa de Riesgos'!$AB$57="Catastrófico"),CONCATENATE("R6C",'Mapa de Riesgos'!$P$57),"")</f>
        <v/>
      </c>
      <c r="AM41" s="15" t="str">
        <f>IF(AND('Mapa de Riesgos'!$Z$58="Baja",'Mapa de Riesgos'!$AB$58="Catastrófico"),CONCATENATE("R6C",'Mapa de Riesgos'!$P$58),"")</f>
        <v/>
      </c>
      <c r="AN41" s="41"/>
      <c r="AO41" s="459"/>
      <c r="AP41" s="460"/>
      <c r="AQ41" s="460"/>
      <c r="AR41" s="460"/>
      <c r="AS41" s="460"/>
      <c r="AT41" s="46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row>
    <row r="42" spans="1:80" ht="15" customHeight="1" x14ac:dyDescent="0.25">
      <c r="A42" s="41"/>
      <c r="B42" s="340"/>
      <c r="C42" s="340"/>
      <c r="D42" s="341"/>
      <c r="E42" s="439"/>
      <c r="F42" s="438"/>
      <c r="G42" s="438"/>
      <c r="H42" s="438"/>
      <c r="I42" s="438"/>
      <c r="J42" s="34" t="str">
        <f>IF(AND('Mapa de Riesgos'!$Z$23="Baja",'Mapa de Riesgos'!$AB$23="Leve"),CONCATENATE("R7C",'Mapa de Riesgos'!$P$23),"")</f>
        <v/>
      </c>
      <c r="K42" s="35" t="str">
        <f>IF(AND('Mapa de Riesgos'!$Z$24="Baja",'Mapa de Riesgos'!$AB$24="Leve"),CONCATENATE("R7C",'Mapa de Riesgos'!$P$24),"")</f>
        <v/>
      </c>
      <c r="L42" s="35" t="str">
        <f>IF(AND('Mapa de Riesgos'!$Z$25="Baja",'Mapa de Riesgos'!$AB$25="Leve"),CONCATENATE("R7C",'Mapa de Riesgos'!$P$25),"")</f>
        <v/>
      </c>
      <c r="M42" s="35" t="str">
        <f>IF(AND('Mapa de Riesgos'!$Z$26="Baja",'Mapa de Riesgos'!$AB$26="Leve"),CONCATENATE("R7C",'Mapa de Riesgos'!$P$26),"")</f>
        <v/>
      </c>
      <c r="N42" s="35" t="str">
        <f>IF(AND('Mapa de Riesgos'!$Z$27="Baja",'Mapa de Riesgos'!$AB$27="Leve"),CONCATENATE("R7C",'Mapa de Riesgos'!$P$27),"")</f>
        <v/>
      </c>
      <c r="O42" s="36" t="str">
        <f>IF(AND('Mapa de Riesgos'!$Z$28="Baja",'Mapa de Riesgos'!$AB$28="Leve"),CONCATENATE("R7C",'Mapa de Riesgos'!$P$28),"")</f>
        <v/>
      </c>
      <c r="P42" s="25" t="str">
        <f>IF(AND('Mapa de Riesgos'!$Z$23="Baja",'Mapa de Riesgos'!$AB$23="Menor"),CONCATENATE("R7C",'Mapa de Riesgos'!$P$23),"")</f>
        <v/>
      </c>
      <c r="Q42" s="26" t="str">
        <f>IF(AND('Mapa de Riesgos'!$Z$24="Baja",'Mapa de Riesgos'!$AB$24="Menor"),CONCATENATE("R7C",'Mapa de Riesgos'!$P$24),"")</f>
        <v/>
      </c>
      <c r="R42" s="26" t="str">
        <f>IF(AND('Mapa de Riesgos'!$Z$25="Baja",'Mapa de Riesgos'!$AB$25="Menor"),CONCATENATE("R7C",'Mapa de Riesgos'!$P$25),"")</f>
        <v/>
      </c>
      <c r="S42" s="26" t="str">
        <f>IF(AND('Mapa de Riesgos'!$Z$26="Baja",'Mapa de Riesgos'!$AB$26="Menor"),CONCATENATE("R7C",'Mapa de Riesgos'!$P$26),"")</f>
        <v/>
      </c>
      <c r="T42" s="26" t="str">
        <f>IF(AND('Mapa de Riesgos'!$Z$27="Baja",'Mapa de Riesgos'!$AB$27="Menor"),CONCATENATE("R7C",'Mapa de Riesgos'!$P$27),"")</f>
        <v/>
      </c>
      <c r="U42" s="27" t="str">
        <f>IF(AND('Mapa de Riesgos'!$Z$28="Baja",'Mapa de Riesgos'!$AB$28="Menor"),CONCATENATE("R7C",'Mapa de Riesgos'!$P$28),"")</f>
        <v/>
      </c>
      <c r="V42" s="25" t="str">
        <f>IF(AND('Mapa de Riesgos'!$Z$23="Baja",'Mapa de Riesgos'!$AB$23="Moderado"),CONCATENATE("R7C",'Mapa de Riesgos'!$P$23),"")</f>
        <v/>
      </c>
      <c r="W42" s="26" t="str">
        <f>IF(AND('Mapa de Riesgos'!$Z$24="Baja",'Mapa de Riesgos'!$AB$24="Moderado"),CONCATENATE("R7C",'Mapa de Riesgos'!$P$24),"")</f>
        <v/>
      </c>
      <c r="X42" s="26" t="str">
        <f>IF(AND('Mapa de Riesgos'!$Z$25="Baja",'Mapa de Riesgos'!$AB$25="Moderado"),CONCATENATE("R7C",'Mapa de Riesgos'!$P$25),"")</f>
        <v/>
      </c>
      <c r="Y42" s="26" t="str">
        <f>IF(AND('Mapa de Riesgos'!$Z$26="Baja",'Mapa de Riesgos'!$AB$26="Moderado"),CONCATENATE("R7C",'Mapa de Riesgos'!$P$26),"")</f>
        <v/>
      </c>
      <c r="Z42" s="26" t="str">
        <f>IF(AND('Mapa de Riesgos'!$Z$27="Baja",'Mapa de Riesgos'!$AB$27="Moderado"),CONCATENATE("R7C",'Mapa de Riesgos'!$P$27),"")</f>
        <v/>
      </c>
      <c r="AA42" s="27" t="str">
        <f>IF(AND('Mapa de Riesgos'!$Z$28="Baja",'Mapa de Riesgos'!$AB$28="Moderado"),CONCATENATE("R7C",'Mapa de Riesgos'!$P$28),"")</f>
        <v/>
      </c>
      <c r="AB42" s="10" t="str">
        <f>IF(AND('Mapa de Riesgos'!$Z$23="Baja",'Mapa de Riesgos'!$AB$23="Mayor"),CONCATENATE("R7C",'Mapa de Riesgos'!$P$23),"")</f>
        <v/>
      </c>
      <c r="AC42" s="11" t="str">
        <f>IF(AND('Mapa de Riesgos'!$Z$24="Baja",'Mapa de Riesgos'!$AB$24="Mayor"),CONCATENATE("R7C",'Mapa de Riesgos'!$P$24),"")</f>
        <v/>
      </c>
      <c r="AD42" s="11" t="str">
        <f>IF(AND('Mapa de Riesgos'!$Z$25="Baja",'Mapa de Riesgos'!$AB$25="Mayor"),CONCATENATE("R7C",'Mapa de Riesgos'!$P$25),"")</f>
        <v/>
      </c>
      <c r="AE42" s="11" t="str">
        <f>IF(AND('Mapa de Riesgos'!$Z$26="Baja",'Mapa de Riesgos'!$AB$26="Mayor"),CONCATENATE("R7C",'Mapa de Riesgos'!$P$26),"")</f>
        <v/>
      </c>
      <c r="AF42" s="11" t="str">
        <f>IF(AND('Mapa de Riesgos'!$Z$27="Baja",'Mapa de Riesgos'!$AB$27="Mayor"),CONCATENATE("R7C",'Mapa de Riesgos'!$P$27),"")</f>
        <v/>
      </c>
      <c r="AG42" s="12" t="str">
        <f>IF(AND('Mapa de Riesgos'!$Z$28="Baja",'Mapa de Riesgos'!$AB$28="Mayor"),CONCATENATE("R7C",'Mapa de Riesgos'!$P$28),"")</f>
        <v/>
      </c>
      <c r="AH42" s="13" t="str">
        <f>IF(AND('Mapa de Riesgos'!$Z$23="Baja",'Mapa de Riesgos'!$AB$23="Catastrófico"),CONCATENATE("R7C",'Mapa de Riesgos'!$P$23),"")</f>
        <v/>
      </c>
      <c r="AI42" s="14" t="str">
        <f>IF(AND('Mapa de Riesgos'!$Z$24="Baja",'Mapa de Riesgos'!$AB$24="Catastrófico"),CONCATENATE("R7C",'Mapa de Riesgos'!$P$24),"")</f>
        <v/>
      </c>
      <c r="AJ42" s="14" t="str">
        <f>IF(AND('Mapa de Riesgos'!$Z$25="Baja",'Mapa de Riesgos'!$AB$25="Catastrófico"),CONCATENATE("R7C",'Mapa de Riesgos'!$P$25),"")</f>
        <v/>
      </c>
      <c r="AK42" s="14" t="str">
        <f>IF(AND('Mapa de Riesgos'!$Z$26="Baja",'Mapa de Riesgos'!$AB$26="Catastrófico"),CONCATENATE("R7C",'Mapa de Riesgos'!$P$26),"")</f>
        <v/>
      </c>
      <c r="AL42" s="14" t="str">
        <f>IF(AND('Mapa de Riesgos'!$Z$27="Baja",'Mapa de Riesgos'!$AB$27="Catastrófico"),CONCATENATE("R7C",'Mapa de Riesgos'!$P$27),"")</f>
        <v/>
      </c>
      <c r="AM42" s="15" t="str">
        <f>IF(AND('Mapa de Riesgos'!$Z$28="Baja",'Mapa de Riesgos'!$AB$28="Catastrófico"),CONCATENATE("R7C",'Mapa de Riesgos'!$P$28),"")</f>
        <v/>
      </c>
      <c r="AN42" s="41"/>
      <c r="AO42" s="459"/>
      <c r="AP42" s="460"/>
      <c r="AQ42" s="460"/>
      <c r="AR42" s="460"/>
      <c r="AS42" s="460"/>
      <c r="AT42" s="46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row>
    <row r="43" spans="1:80" ht="15" customHeight="1" x14ac:dyDescent="0.25">
      <c r="A43" s="41"/>
      <c r="B43" s="340"/>
      <c r="C43" s="340"/>
      <c r="D43" s="341"/>
      <c r="E43" s="439"/>
      <c r="F43" s="438"/>
      <c r="G43" s="438"/>
      <c r="H43" s="438"/>
      <c r="I43" s="438"/>
      <c r="J43" s="34" t="str">
        <f>IF(AND('Mapa de Riesgos'!$Z$17="Baja",'Mapa de Riesgos'!$AB$17="Leve"),CONCATENATE("R8C",'Mapa de Riesgos'!$P$17),"")</f>
        <v/>
      </c>
      <c r="K43" s="35" t="str">
        <f>IF(AND('Mapa de Riesgos'!$Z$18="Baja",'Mapa de Riesgos'!$AB$18="Leve"),CONCATENATE("R8C",'Mapa de Riesgos'!$P$18),"")</f>
        <v/>
      </c>
      <c r="L43" s="35" t="str">
        <f>IF(AND('Mapa de Riesgos'!$Z$19="Baja",'Mapa de Riesgos'!$AB$19="Leve"),CONCATENATE("R8C",'Mapa de Riesgos'!$P$19),"")</f>
        <v/>
      </c>
      <c r="M43" s="35" t="str">
        <f>IF(AND('Mapa de Riesgos'!$Z$20="Baja",'Mapa de Riesgos'!$AB$20="Leve"),CONCATENATE("R8C",'Mapa de Riesgos'!$P$20),"")</f>
        <v/>
      </c>
      <c r="N43" s="35" t="str">
        <f>IF(AND('Mapa de Riesgos'!$Z$21="Baja",'Mapa de Riesgos'!$AB$21="Leve"),CONCATENATE("R8C",'Mapa de Riesgos'!$P$21),"")</f>
        <v/>
      </c>
      <c r="O43" s="36" t="str">
        <f>IF(AND('Mapa de Riesgos'!$Z$22="Baja",'Mapa de Riesgos'!$AB$22="Leve"),CONCATENATE("R8C",'Mapa de Riesgos'!$P$22),"")</f>
        <v/>
      </c>
      <c r="P43" s="25" t="str">
        <f>IF(AND('Mapa de Riesgos'!$Z$17="Baja",'Mapa de Riesgos'!$AB$17="Menor"),CONCATENATE("R8C",'Mapa de Riesgos'!$P$17),"")</f>
        <v/>
      </c>
      <c r="Q43" s="26" t="str">
        <f>IF(AND('Mapa de Riesgos'!$Z$18="Baja",'Mapa de Riesgos'!$AB$18="Menor"),CONCATENATE("R8C",'Mapa de Riesgos'!$P$18),"")</f>
        <v/>
      </c>
      <c r="R43" s="26" t="str">
        <f>IF(AND('Mapa de Riesgos'!$Z$19="Baja",'Mapa de Riesgos'!$AB$19="Menor"),CONCATENATE("R8C",'Mapa de Riesgos'!$P$19),"")</f>
        <v/>
      </c>
      <c r="S43" s="26" t="str">
        <f>IF(AND('Mapa de Riesgos'!$Z$20="Baja",'Mapa de Riesgos'!$AB$20="Menor"),CONCATENATE("R8C",'Mapa de Riesgos'!$P$20),"")</f>
        <v/>
      </c>
      <c r="T43" s="26" t="str">
        <f>IF(AND('Mapa de Riesgos'!$Z$21="Baja",'Mapa de Riesgos'!$AB$21="Menor"),CONCATENATE("R8C",'Mapa de Riesgos'!$P$21),"")</f>
        <v/>
      </c>
      <c r="U43" s="27" t="str">
        <f>IF(AND('Mapa de Riesgos'!$Z$22="Baja",'Mapa de Riesgos'!$AB$22="Menor"),CONCATENATE("R8C",'Mapa de Riesgos'!$P$22),"")</f>
        <v/>
      </c>
      <c r="V43" s="25" t="str">
        <f>IF(AND('Mapa de Riesgos'!$Z$17="Baja",'Mapa de Riesgos'!$AB$17="Moderado"),CONCATENATE("R8C",'Mapa de Riesgos'!$P$17),"")</f>
        <v/>
      </c>
      <c r="W43" s="26" t="str">
        <f>IF(AND('Mapa de Riesgos'!$Z$18="Baja",'Mapa de Riesgos'!$AB$18="Moderado"),CONCATENATE("R8C",'Mapa de Riesgos'!$P$18),"")</f>
        <v/>
      </c>
      <c r="X43" s="26" t="str">
        <f>IF(AND('Mapa de Riesgos'!$Z$19="Baja",'Mapa de Riesgos'!$AB$19="Moderado"),CONCATENATE("R8C",'Mapa de Riesgos'!$P$19),"")</f>
        <v/>
      </c>
      <c r="Y43" s="26" t="str">
        <f>IF(AND('Mapa de Riesgos'!$Z$20="Baja",'Mapa de Riesgos'!$AB$20="Moderado"),CONCATENATE("R8C",'Mapa de Riesgos'!$P$20),"")</f>
        <v/>
      </c>
      <c r="Z43" s="26" t="str">
        <f>IF(AND('Mapa de Riesgos'!$Z$21="Baja",'Mapa de Riesgos'!$AB$21="Moderado"),CONCATENATE("R8C",'Mapa de Riesgos'!$P$21),"")</f>
        <v/>
      </c>
      <c r="AA43" s="27" t="str">
        <f>IF(AND('Mapa de Riesgos'!$Z$22="Baja",'Mapa de Riesgos'!$AB$22="Moderado"),CONCATENATE("R8C",'Mapa de Riesgos'!$P$22),"")</f>
        <v/>
      </c>
      <c r="AB43" s="10" t="str">
        <f>IF(AND('Mapa de Riesgos'!$Z$17="Baja",'Mapa de Riesgos'!$AB$17="Mayor"),CONCATENATE("R8C",'Mapa de Riesgos'!$P$17),"")</f>
        <v/>
      </c>
      <c r="AC43" s="11" t="str">
        <f>IF(AND('Mapa de Riesgos'!$Z$18="Baja",'Mapa de Riesgos'!$AB$18="Mayor"),CONCATENATE("R8C",'Mapa de Riesgos'!$P$18),"")</f>
        <v/>
      </c>
      <c r="AD43" s="11" t="str">
        <f>IF(AND('Mapa de Riesgos'!$Z$19="Baja",'Mapa de Riesgos'!$AB$19="Mayor"),CONCATENATE("R8C",'Mapa de Riesgos'!$P$19),"")</f>
        <v/>
      </c>
      <c r="AE43" s="11" t="str">
        <f>IF(AND('Mapa de Riesgos'!$Z$20="Baja",'Mapa de Riesgos'!$AB$20="Mayor"),CONCATENATE("R8C",'Mapa de Riesgos'!$P$20),"")</f>
        <v/>
      </c>
      <c r="AF43" s="11" t="str">
        <f>IF(AND('Mapa de Riesgos'!$Z$21="Baja",'Mapa de Riesgos'!$AB$21="Mayor"),CONCATENATE("R8C",'Mapa de Riesgos'!$P$21),"")</f>
        <v/>
      </c>
      <c r="AG43" s="12" t="str">
        <f>IF(AND('Mapa de Riesgos'!$Z$22="Baja",'Mapa de Riesgos'!$AB$22="Mayor"),CONCATENATE("R8C",'Mapa de Riesgos'!$P$22),"")</f>
        <v/>
      </c>
      <c r="AH43" s="13" t="str">
        <f>IF(AND('Mapa de Riesgos'!$Z$17="Baja",'Mapa de Riesgos'!$AB$17="Catastrófico"),CONCATENATE("R8C",'Mapa de Riesgos'!$P$17),"")</f>
        <v/>
      </c>
      <c r="AI43" s="14" t="str">
        <f>IF(AND('Mapa de Riesgos'!$Z$18="Baja",'Mapa de Riesgos'!$AB$18="Catastrófico"),CONCATENATE("R8C",'Mapa de Riesgos'!$P$18),"")</f>
        <v/>
      </c>
      <c r="AJ43" s="14" t="str">
        <f>IF(AND('Mapa de Riesgos'!$Z$19="Baja",'Mapa de Riesgos'!$AB$19="Catastrófico"),CONCATENATE("R8C",'Mapa de Riesgos'!$P$19),"")</f>
        <v/>
      </c>
      <c r="AK43" s="14" t="str">
        <f>IF(AND('Mapa de Riesgos'!$Z$20="Baja",'Mapa de Riesgos'!$AB$20="Catastrófico"),CONCATENATE("R8C",'Mapa de Riesgos'!$P$20),"")</f>
        <v/>
      </c>
      <c r="AL43" s="14" t="str">
        <f>IF(AND('Mapa de Riesgos'!$Z$21="Baja",'Mapa de Riesgos'!$AB$21="Catastrófico"),CONCATENATE("R8C",'Mapa de Riesgos'!$P$21),"")</f>
        <v/>
      </c>
      <c r="AM43" s="15" t="str">
        <f>IF(AND('Mapa de Riesgos'!$Z$22="Baja",'Mapa de Riesgos'!$AB$22="Catastrófico"),CONCATENATE("R8C",'Mapa de Riesgos'!$P$22),"")</f>
        <v/>
      </c>
      <c r="AN43" s="41"/>
      <c r="AO43" s="459"/>
      <c r="AP43" s="460"/>
      <c r="AQ43" s="460"/>
      <c r="AR43" s="460"/>
      <c r="AS43" s="460"/>
      <c r="AT43" s="46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row>
    <row r="44" spans="1:80" ht="15" customHeight="1" x14ac:dyDescent="0.25">
      <c r="A44" s="41"/>
      <c r="B44" s="340"/>
      <c r="C44" s="340"/>
      <c r="D44" s="341"/>
      <c r="E44" s="439"/>
      <c r="F44" s="438"/>
      <c r="G44" s="438"/>
      <c r="H44" s="438"/>
      <c r="I44" s="438"/>
      <c r="J44" s="34" t="str">
        <f>IF(AND('Mapa de Riesgos'!$Z$59="Baja",'Mapa de Riesgos'!$AB$59="Leve"),CONCATENATE("R9C",'Mapa de Riesgos'!$P$59),"")</f>
        <v/>
      </c>
      <c r="K44" s="35" t="str">
        <f>IF(AND('Mapa de Riesgos'!$Z$60="Baja",'Mapa de Riesgos'!$AB$60="Leve"),CONCATENATE("R9C",'Mapa de Riesgos'!$P$60),"")</f>
        <v/>
      </c>
      <c r="L44" s="35" t="str">
        <f>IF(AND('Mapa de Riesgos'!$Z$61="Baja",'Mapa de Riesgos'!$AB$61="Leve"),CONCATENATE("R9C",'Mapa de Riesgos'!$P$61),"")</f>
        <v/>
      </c>
      <c r="M44" s="35" t="str">
        <f>IF(AND('Mapa de Riesgos'!$Z$62="Baja",'Mapa de Riesgos'!$AB$62="Leve"),CONCATENATE("R9C",'Mapa de Riesgos'!$P$62),"")</f>
        <v/>
      </c>
      <c r="N44" s="35" t="str">
        <f>IF(AND('Mapa de Riesgos'!$Z$63="Baja",'Mapa de Riesgos'!$AB$63="Leve"),CONCATENATE("R9C",'Mapa de Riesgos'!$P$63),"")</f>
        <v/>
      </c>
      <c r="O44" s="36" t="str">
        <f>IF(AND('Mapa de Riesgos'!$Z$64="Baja",'Mapa de Riesgos'!$AB$64="Leve"),CONCATENATE("R9C",'Mapa de Riesgos'!$P$64),"")</f>
        <v/>
      </c>
      <c r="P44" s="25" t="str">
        <f>IF(AND('Mapa de Riesgos'!$Z$59="Baja",'Mapa de Riesgos'!$AB$59="Menor"),CONCATENATE("R9C",'Mapa de Riesgos'!$P$59),"")</f>
        <v/>
      </c>
      <c r="Q44" s="26" t="str">
        <f>IF(AND('Mapa de Riesgos'!$Z$60="Baja",'Mapa de Riesgos'!$AB$60="Menor"),CONCATENATE("R9C",'Mapa de Riesgos'!$P$60),"")</f>
        <v/>
      </c>
      <c r="R44" s="26" t="str">
        <f>IF(AND('Mapa de Riesgos'!$Z$61="Baja",'Mapa de Riesgos'!$AB$61="Menor"),CONCATENATE("R9C",'Mapa de Riesgos'!$P$61),"")</f>
        <v/>
      </c>
      <c r="S44" s="26" t="str">
        <f>IF(AND('Mapa de Riesgos'!$Z$62="Baja",'Mapa de Riesgos'!$AB$62="Menor"),CONCATENATE("R9C",'Mapa de Riesgos'!$P$62),"")</f>
        <v/>
      </c>
      <c r="T44" s="26" t="str">
        <f>IF(AND('Mapa de Riesgos'!$Z$63="Baja",'Mapa de Riesgos'!$AB$63="Menor"),CONCATENATE("R9C",'Mapa de Riesgos'!$P$63),"")</f>
        <v/>
      </c>
      <c r="U44" s="27" t="str">
        <f>IF(AND('Mapa de Riesgos'!$Z$64="Baja",'Mapa de Riesgos'!$AB$64="Menor"),CONCATENATE("R9C",'Mapa de Riesgos'!$P$64),"")</f>
        <v/>
      </c>
      <c r="V44" s="25" t="str">
        <f>IF(AND('Mapa de Riesgos'!$Z$59="Baja",'Mapa de Riesgos'!$AB$59="Moderado"),CONCATENATE("R9C",'Mapa de Riesgos'!$P$59),"")</f>
        <v/>
      </c>
      <c r="W44" s="26" t="str">
        <f>IF(AND('Mapa de Riesgos'!$Z$60="Baja",'Mapa de Riesgos'!$AB$60="Moderado"),CONCATENATE("R9C",'Mapa de Riesgos'!$P$60),"")</f>
        <v/>
      </c>
      <c r="X44" s="26" t="str">
        <f>IF(AND('Mapa de Riesgos'!$Z$61="Baja",'Mapa de Riesgos'!$AB$61="Moderado"),CONCATENATE("R9C",'Mapa de Riesgos'!$P$61),"")</f>
        <v/>
      </c>
      <c r="Y44" s="26" t="str">
        <f>IF(AND('Mapa de Riesgos'!$Z$62="Baja",'Mapa de Riesgos'!$AB$62="Moderado"),CONCATENATE("R9C",'Mapa de Riesgos'!$P$62),"")</f>
        <v/>
      </c>
      <c r="Z44" s="26" t="str">
        <f>IF(AND('Mapa de Riesgos'!$Z$63="Baja",'Mapa de Riesgos'!$AB$63="Moderado"),CONCATENATE("R9C",'Mapa de Riesgos'!$P$63),"")</f>
        <v/>
      </c>
      <c r="AA44" s="27" t="str">
        <f>IF(AND('Mapa de Riesgos'!$Z$64="Baja",'Mapa de Riesgos'!$AB$64="Moderado"),CONCATENATE("R9C",'Mapa de Riesgos'!$P$64),"")</f>
        <v/>
      </c>
      <c r="AB44" s="10" t="str">
        <f>IF(AND('Mapa de Riesgos'!$Z$59="Baja",'Mapa de Riesgos'!$AB$59="Mayor"),CONCATENATE("R9C",'Mapa de Riesgos'!$P$59),"")</f>
        <v/>
      </c>
      <c r="AC44" s="11" t="str">
        <f>IF(AND('Mapa de Riesgos'!$Z$60="Baja",'Mapa de Riesgos'!$AB$60="Mayor"),CONCATENATE("R9C",'Mapa de Riesgos'!$P$60),"")</f>
        <v/>
      </c>
      <c r="AD44" s="11" t="str">
        <f>IF(AND('Mapa de Riesgos'!$Z$61="Baja",'Mapa de Riesgos'!$AB$61="Mayor"),CONCATENATE("R9C",'Mapa de Riesgos'!$P$61),"")</f>
        <v/>
      </c>
      <c r="AE44" s="11" t="str">
        <f>IF(AND('Mapa de Riesgos'!$Z$62="Baja",'Mapa de Riesgos'!$AB$62="Mayor"),CONCATENATE("R9C",'Mapa de Riesgos'!$P$62),"")</f>
        <v/>
      </c>
      <c r="AF44" s="11" t="str">
        <f>IF(AND('Mapa de Riesgos'!$Z$63="Baja",'Mapa de Riesgos'!$AB$63="Mayor"),CONCATENATE("R9C",'Mapa de Riesgos'!$P$63),"")</f>
        <v/>
      </c>
      <c r="AG44" s="12" t="str">
        <f>IF(AND('Mapa de Riesgos'!$Z$64="Baja",'Mapa de Riesgos'!$AB$64="Mayor"),CONCATENATE("R9C",'Mapa de Riesgos'!$P$64),"")</f>
        <v/>
      </c>
      <c r="AH44" s="13" t="str">
        <f>IF(AND('Mapa de Riesgos'!$Z$59="Baja",'Mapa de Riesgos'!$AB$59="Catastrófico"),CONCATENATE("R9C",'Mapa de Riesgos'!$P$59),"")</f>
        <v/>
      </c>
      <c r="AI44" s="14" t="str">
        <f>IF(AND('Mapa de Riesgos'!$Z$60="Baja",'Mapa de Riesgos'!$AB$60="Catastrófico"),CONCATENATE("R9C",'Mapa de Riesgos'!$P$60),"")</f>
        <v/>
      </c>
      <c r="AJ44" s="14" t="str">
        <f>IF(AND('Mapa de Riesgos'!$Z$61="Baja",'Mapa de Riesgos'!$AB$61="Catastrófico"),CONCATENATE("R9C",'Mapa de Riesgos'!$P$61),"")</f>
        <v/>
      </c>
      <c r="AK44" s="14" t="str">
        <f>IF(AND('Mapa de Riesgos'!$Z$62="Baja",'Mapa de Riesgos'!$AB$62="Catastrófico"),CONCATENATE("R9C",'Mapa de Riesgos'!$P$62),"")</f>
        <v/>
      </c>
      <c r="AL44" s="14" t="str">
        <f>IF(AND('Mapa de Riesgos'!$Z$63="Baja",'Mapa de Riesgos'!$AB$63="Catastrófico"),CONCATENATE("R9C",'Mapa de Riesgos'!$P$63),"")</f>
        <v/>
      </c>
      <c r="AM44" s="15" t="str">
        <f>IF(AND('Mapa de Riesgos'!$Z$64="Baja",'Mapa de Riesgos'!$AB$64="Catastrófico"),CONCATENATE("R9C",'Mapa de Riesgos'!$P$64),"")</f>
        <v/>
      </c>
      <c r="AN44" s="41"/>
      <c r="AO44" s="459"/>
      <c r="AP44" s="460"/>
      <c r="AQ44" s="460"/>
      <c r="AR44" s="460"/>
      <c r="AS44" s="460"/>
      <c r="AT44" s="46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row>
    <row r="45" spans="1:80" ht="15.75" customHeight="1" thickBot="1" x14ac:dyDescent="0.3">
      <c r="A45" s="41"/>
      <c r="B45" s="340"/>
      <c r="C45" s="340"/>
      <c r="D45" s="341"/>
      <c r="E45" s="440"/>
      <c r="F45" s="441"/>
      <c r="G45" s="441"/>
      <c r="H45" s="441"/>
      <c r="I45" s="441"/>
      <c r="J45" s="37" t="str">
        <f>IF(AND('Mapa de Riesgos'!$Z$65="Baja",'Mapa de Riesgos'!$AB$65="Leve"),CONCATENATE("R10C",'Mapa de Riesgos'!$P$65),"")</f>
        <v/>
      </c>
      <c r="K45" s="38" t="str">
        <f>IF(AND('Mapa de Riesgos'!$Z$66="Baja",'Mapa de Riesgos'!$AB$66="Leve"),CONCATENATE("R10C",'Mapa de Riesgos'!$P$66),"")</f>
        <v/>
      </c>
      <c r="L45" s="38" t="str">
        <f>IF(AND('Mapa de Riesgos'!$Z$67="Baja",'Mapa de Riesgos'!$AB$67="Leve"),CONCATENATE("R10C",'Mapa de Riesgos'!$P$67),"")</f>
        <v/>
      </c>
      <c r="M45" s="38" t="str">
        <f>IF(AND('Mapa de Riesgos'!$Z$68="Baja",'Mapa de Riesgos'!$AB$68="Leve"),CONCATENATE("R10C",'Mapa de Riesgos'!$P$68),"")</f>
        <v/>
      </c>
      <c r="N45" s="38" t="str">
        <f>IF(AND('Mapa de Riesgos'!$Z$69="Baja",'Mapa de Riesgos'!$AB$69="Leve"),CONCATENATE("R10C",'Mapa de Riesgos'!$P$69),"")</f>
        <v/>
      </c>
      <c r="O45" s="39" t="str">
        <f>IF(AND('Mapa de Riesgos'!$Z$70="Baja",'Mapa de Riesgos'!$AB$70="Leve"),CONCATENATE("R10C",'Mapa de Riesgos'!$P$70),"")</f>
        <v/>
      </c>
      <c r="P45" s="25" t="str">
        <f>IF(AND('Mapa de Riesgos'!$Z$65="Baja",'Mapa de Riesgos'!$AB$65="Menor"),CONCATENATE("R10C",'Mapa de Riesgos'!$P$65),"")</f>
        <v/>
      </c>
      <c r="Q45" s="26" t="str">
        <f>IF(AND('Mapa de Riesgos'!$Z$66="Baja",'Mapa de Riesgos'!$AB$66="Menor"),CONCATENATE("R10C",'Mapa de Riesgos'!$P$66),"")</f>
        <v/>
      </c>
      <c r="R45" s="26" t="str">
        <f>IF(AND('Mapa de Riesgos'!$Z$67="Baja",'Mapa de Riesgos'!$AB$67="Menor"),CONCATENATE("R10C",'Mapa de Riesgos'!$P$67),"")</f>
        <v/>
      </c>
      <c r="S45" s="26" t="str">
        <f>IF(AND('Mapa de Riesgos'!$Z$68="Baja",'Mapa de Riesgos'!$AB$68="Menor"),CONCATENATE("R10C",'Mapa de Riesgos'!$P$68),"")</f>
        <v/>
      </c>
      <c r="T45" s="26" t="str">
        <f>IF(AND('Mapa de Riesgos'!$Z$69="Baja",'Mapa de Riesgos'!$AB$69="Menor"),CONCATENATE("R10C",'Mapa de Riesgos'!$P$69),"")</f>
        <v/>
      </c>
      <c r="U45" s="27" t="str">
        <f>IF(AND('Mapa de Riesgos'!$Z$70="Baja",'Mapa de Riesgos'!$AB$70="Menor"),CONCATENATE("R10C",'Mapa de Riesgos'!$P$70),"")</f>
        <v/>
      </c>
      <c r="V45" s="28" t="str">
        <f>IF(AND('Mapa de Riesgos'!$Z$65="Baja",'Mapa de Riesgos'!$AB$65="Moderado"),CONCATENATE("R10C",'Mapa de Riesgos'!$P$65),"")</f>
        <v/>
      </c>
      <c r="W45" s="29" t="str">
        <f>IF(AND('Mapa de Riesgos'!$Z$66="Baja",'Mapa de Riesgos'!$AB$66="Moderado"),CONCATENATE("R10C",'Mapa de Riesgos'!$P$66),"")</f>
        <v/>
      </c>
      <c r="X45" s="29" t="str">
        <f>IF(AND('Mapa de Riesgos'!$Z$67="Baja",'Mapa de Riesgos'!$AB$67="Moderado"),CONCATENATE("R10C",'Mapa de Riesgos'!$P$67),"")</f>
        <v/>
      </c>
      <c r="Y45" s="29" t="str">
        <f>IF(AND('Mapa de Riesgos'!$Z$68="Baja",'Mapa de Riesgos'!$AB$68="Moderado"),CONCATENATE("R10C",'Mapa de Riesgos'!$P$68),"")</f>
        <v/>
      </c>
      <c r="Z45" s="29" t="str">
        <f>IF(AND('Mapa de Riesgos'!$Z$69="Baja",'Mapa de Riesgos'!$AB$69="Moderado"),CONCATENATE("R10C",'Mapa de Riesgos'!$P$69),"")</f>
        <v/>
      </c>
      <c r="AA45" s="30" t="str">
        <f>IF(AND('Mapa de Riesgos'!$Z$70="Baja",'Mapa de Riesgos'!$AB$70="Moderado"),CONCATENATE("R10C",'Mapa de Riesgos'!$P$70),"")</f>
        <v/>
      </c>
      <c r="AB45" s="16" t="str">
        <f>IF(AND('Mapa de Riesgos'!$Z$65="Baja",'Mapa de Riesgos'!$AB$65="Mayor"),CONCATENATE("R10C",'Mapa de Riesgos'!$P$65),"")</f>
        <v/>
      </c>
      <c r="AC45" s="17" t="str">
        <f>IF(AND('Mapa de Riesgos'!$Z$66="Baja",'Mapa de Riesgos'!$AB$66="Mayor"),CONCATENATE("R10C",'Mapa de Riesgos'!$P$66),"")</f>
        <v/>
      </c>
      <c r="AD45" s="17" t="str">
        <f>IF(AND('Mapa de Riesgos'!$Z$67="Baja",'Mapa de Riesgos'!$AB$67="Mayor"),CONCATENATE("R10C",'Mapa de Riesgos'!$P$67),"")</f>
        <v/>
      </c>
      <c r="AE45" s="17" t="str">
        <f>IF(AND('Mapa de Riesgos'!$Z$68="Baja",'Mapa de Riesgos'!$AB$68="Mayor"),CONCATENATE("R10C",'Mapa de Riesgos'!$P$68),"")</f>
        <v/>
      </c>
      <c r="AF45" s="17" t="str">
        <f>IF(AND('Mapa de Riesgos'!$Z$69="Baja",'Mapa de Riesgos'!$AB$69="Mayor"),CONCATENATE("R10C",'Mapa de Riesgos'!$P$69),"")</f>
        <v/>
      </c>
      <c r="AG45" s="18" t="str">
        <f>IF(AND('Mapa de Riesgos'!$Z$70="Baja",'Mapa de Riesgos'!$AB$70="Mayor"),CONCATENATE("R10C",'Mapa de Riesgos'!$P$70),"")</f>
        <v/>
      </c>
      <c r="AH45" s="19" t="str">
        <f>IF(AND('Mapa de Riesgos'!$Z$65="Baja",'Mapa de Riesgos'!$AB$65="Catastrófico"),CONCATENATE("R10C",'Mapa de Riesgos'!$P$65),"")</f>
        <v/>
      </c>
      <c r="AI45" s="20" t="str">
        <f>IF(AND('Mapa de Riesgos'!$Z$66="Baja",'Mapa de Riesgos'!$AB$66="Catastrófico"),CONCATENATE("R10C",'Mapa de Riesgos'!$P$66),"")</f>
        <v/>
      </c>
      <c r="AJ45" s="20" t="str">
        <f>IF(AND('Mapa de Riesgos'!$Z$67="Baja",'Mapa de Riesgos'!$AB$67="Catastrófico"),CONCATENATE("R10C",'Mapa de Riesgos'!$P$67),"")</f>
        <v/>
      </c>
      <c r="AK45" s="20" t="str">
        <f>IF(AND('Mapa de Riesgos'!$Z$68="Baja",'Mapa de Riesgos'!$AB$68="Catastrófico"),CONCATENATE("R10C",'Mapa de Riesgos'!$P$68),"")</f>
        <v/>
      </c>
      <c r="AL45" s="20" t="str">
        <f>IF(AND('Mapa de Riesgos'!$Z$69="Baja",'Mapa de Riesgos'!$AB$69="Catastrófico"),CONCATENATE("R10C",'Mapa de Riesgos'!$P$69),"")</f>
        <v/>
      </c>
      <c r="AM45" s="21" t="str">
        <f>IF(AND('Mapa de Riesgos'!$Z$70="Baja",'Mapa de Riesgos'!$AB$70="Catastrófico"),CONCATENATE("R10C",'Mapa de Riesgos'!$P$70),"")</f>
        <v/>
      </c>
      <c r="AN45" s="41"/>
      <c r="AO45" s="462"/>
      <c r="AP45" s="463"/>
      <c r="AQ45" s="463"/>
      <c r="AR45" s="463"/>
      <c r="AS45" s="463"/>
      <c r="AT45" s="464"/>
    </row>
    <row r="46" spans="1:80" ht="46.5" customHeight="1" x14ac:dyDescent="0.35">
      <c r="A46" s="41"/>
      <c r="B46" s="340"/>
      <c r="C46" s="340"/>
      <c r="D46" s="341"/>
      <c r="E46" s="435" t="s">
        <v>119</v>
      </c>
      <c r="F46" s="436"/>
      <c r="G46" s="436"/>
      <c r="H46" s="436"/>
      <c r="I46" s="453"/>
      <c r="J46" s="31" t="str">
        <f>IF(AND('Mapa de Riesgos'!$Z$11="Muy Baja",'Mapa de Riesgos'!$AB$11="Leve"),CONCATENATE("R1C",'Mapa de Riesgos'!$P$11),"")</f>
        <v/>
      </c>
      <c r="K46" s="32" t="str">
        <f>IF(AND('Mapa de Riesgos'!$Z$12="Muy Baja",'Mapa de Riesgos'!$AB$12="Leve"),CONCATENATE("R1C",'Mapa de Riesgos'!$P$12),"")</f>
        <v>R1C2</v>
      </c>
      <c r="L46" s="32" t="str">
        <f>IF(AND('Mapa de Riesgos'!$Z$13="Muy Baja",'Mapa de Riesgos'!$AB$13="Leve"),CONCATENATE("R1C",'Mapa de Riesgos'!$P$13),"")</f>
        <v/>
      </c>
      <c r="M46" s="32" t="str">
        <f>IF(AND('Mapa de Riesgos'!$Z$14="Muy Baja",'Mapa de Riesgos'!$AB$14="Leve"),CONCATENATE("R1C",'Mapa de Riesgos'!$P$14),"")</f>
        <v/>
      </c>
      <c r="N46" s="32" t="str">
        <f>IF(AND('Mapa de Riesgos'!$Z$15="Muy Baja",'Mapa de Riesgos'!$AB$15="Leve"),CONCATENATE("R1C",'Mapa de Riesgos'!$P$15),"")</f>
        <v/>
      </c>
      <c r="O46" s="33" t="str">
        <f>IF(AND('Mapa de Riesgos'!$Z$16="Muy Baja",'Mapa de Riesgos'!$AB$16="Leve"),CONCATENATE("R1C",'Mapa de Riesgos'!$P$16),"")</f>
        <v/>
      </c>
      <c r="P46" s="31" t="str">
        <f>IF(AND('Mapa de Riesgos'!$Z$11="Muy Baja",'Mapa de Riesgos'!$AB$11="Menor"),CONCATENATE("R1C",'Mapa de Riesgos'!$P$11),"")</f>
        <v/>
      </c>
      <c r="Q46" s="32" t="str">
        <f>IF(AND('Mapa de Riesgos'!$Z$12="Muy Baja",'Mapa de Riesgos'!$AB$12="Menor"),CONCATENATE("R1C",'Mapa de Riesgos'!$P$12),"")</f>
        <v/>
      </c>
      <c r="R46" s="32" t="str">
        <f>IF(AND('Mapa de Riesgos'!$Z$13="Muy Baja",'Mapa de Riesgos'!$AB$13="Menor"),CONCATENATE("R1C",'Mapa de Riesgos'!$P$13),"")</f>
        <v/>
      </c>
      <c r="S46" s="32" t="str">
        <f>IF(AND('Mapa de Riesgos'!$Z$14="Muy Baja",'Mapa de Riesgos'!$AB$14="Menor"),CONCATENATE("R1C",'Mapa de Riesgos'!$P$14),"")</f>
        <v/>
      </c>
      <c r="T46" s="32" t="str">
        <f>IF(AND('Mapa de Riesgos'!$Z$15="Muy Baja",'Mapa de Riesgos'!$AB$15="Menor"),CONCATENATE("R1C",'Mapa de Riesgos'!$P$15),"")</f>
        <v/>
      </c>
      <c r="U46" s="33" t="str">
        <f>IF(AND('Mapa de Riesgos'!$Z$16="Muy Baja",'Mapa de Riesgos'!$AB$16="Menor"),CONCATENATE("R1C",'Mapa de Riesgos'!$P$16),"")</f>
        <v/>
      </c>
      <c r="V46" s="22" t="str">
        <f>IF(AND('Mapa de Riesgos'!$Z$11="Muy Baja",'Mapa de Riesgos'!$AB$11="Moderado"),CONCATENATE("R1C",'Mapa de Riesgos'!$P$11),"")</f>
        <v/>
      </c>
      <c r="W46" s="40" t="str">
        <f>IF(AND('Mapa de Riesgos'!$Z$12="Muy Baja",'Mapa de Riesgos'!$AB$12="Moderado"),CONCATENATE("R1C",'Mapa de Riesgos'!$P$12),"")</f>
        <v/>
      </c>
      <c r="X46" s="23" t="str">
        <f>IF(AND('Mapa de Riesgos'!$Z$13="Muy Baja",'Mapa de Riesgos'!$AB$13="Moderado"),CONCATENATE("R1C",'Mapa de Riesgos'!$P$13),"")</f>
        <v/>
      </c>
      <c r="Y46" s="23" t="str">
        <f>IF(AND('Mapa de Riesgos'!$Z$14="Muy Baja",'Mapa de Riesgos'!$AB$14="Moderado"),CONCATENATE("R1C",'Mapa de Riesgos'!$P$14),"")</f>
        <v/>
      </c>
      <c r="Z46" s="23" t="str">
        <f>IF(AND('Mapa de Riesgos'!$Z$15="Muy Baja",'Mapa de Riesgos'!$AB$15="Moderado"),CONCATENATE("R1C",'Mapa de Riesgos'!$P$15),"")</f>
        <v/>
      </c>
      <c r="AA46" s="24" t="str">
        <f>IF(AND('Mapa de Riesgos'!$Z$16="Muy Baja",'Mapa de Riesgos'!$AB$16="Moderado"),CONCATENATE("R1C",'Mapa de Riesgos'!$P$16),"")</f>
        <v/>
      </c>
      <c r="AB46" s="4" t="str">
        <f>IF(AND('Mapa de Riesgos'!$Z$11="Muy Baja",'Mapa de Riesgos'!$AB$11="Mayor"),CONCATENATE("R1C",'Mapa de Riesgos'!$P$11),"")</f>
        <v>R1C1</v>
      </c>
      <c r="AC46" s="5" t="str">
        <f>IF(AND('Mapa de Riesgos'!$Z$12="Muy Baja",'Mapa de Riesgos'!$AB$12="Mayor"),CONCATENATE("R1C",'Mapa de Riesgos'!$P$12),"")</f>
        <v/>
      </c>
      <c r="AD46" s="5" t="str">
        <f>IF(AND('Mapa de Riesgos'!$Z$13="Muy Baja",'Mapa de Riesgos'!$AB$13="Mayor"),CONCATENATE("R1C",'Mapa de Riesgos'!$P$13),"")</f>
        <v/>
      </c>
      <c r="AE46" s="5" t="str">
        <f>IF(AND('Mapa de Riesgos'!$Z$14="Muy Baja",'Mapa de Riesgos'!$AB$14="Mayor"),CONCATENATE("R1C",'Mapa de Riesgos'!$P$14),"")</f>
        <v/>
      </c>
      <c r="AF46" s="5" t="str">
        <f>IF(AND('Mapa de Riesgos'!$Z$15="Muy Baja",'Mapa de Riesgos'!$AB$15="Mayor"),CONCATENATE("R1C",'Mapa de Riesgos'!$P$15),"")</f>
        <v/>
      </c>
      <c r="AG46" s="6" t="str">
        <f>IF(AND('Mapa de Riesgos'!$Z$16="Muy Baja",'Mapa de Riesgos'!$AB$16="Mayor"),CONCATENATE("R1C",'Mapa de Riesgos'!$P$16),"")</f>
        <v/>
      </c>
      <c r="AH46" s="7" t="str">
        <f>IF(AND('Mapa de Riesgos'!$Z$11="Muy Baja",'Mapa de Riesgos'!$AB$11="Catastrófico"),CONCATENATE("R1C",'Mapa de Riesgos'!$P$11),"")</f>
        <v/>
      </c>
      <c r="AI46" s="8" t="str">
        <f>IF(AND('Mapa de Riesgos'!$Z$12="Muy Baja",'Mapa de Riesgos'!$AB$12="Catastrófico"),CONCATENATE("R1C",'Mapa de Riesgos'!$P$12),"")</f>
        <v/>
      </c>
      <c r="AJ46" s="8" t="str">
        <f>IF(AND('Mapa de Riesgos'!$Z$13="Muy Baja",'Mapa de Riesgos'!$AB$13="Catastrófico"),CONCATENATE("R1C",'Mapa de Riesgos'!$P$13),"")</f>
        <v/>
      </c>
      <c r="AK46" s="8" t="str">
        <f>IF(AND('Mapa de Riesgos'!$Z$14="Muy Baja",'Mapa de Riesgos'!$AB$14="Catastrófico"),CONCATENATE("R1C",'Mapa de Riesgos'!$P$14),"")</f>
        <v/>
      </c>
      <c r="AL46" s="8" t="str">
        <f>IF(AND('Mapa de Riesgos'!$Z$15="Muy Baja",'Mapa de Riesgos'!$AB$15="Catastrófico"),CONCATENATE("R1C",'Mapa de Riesgos'!$P$15),"")</f>
        <v/>
      </c>
      <c r="AM46" s="9" t="str">
        <f>IF(AND('Mapa de Riesgos'!$Z$16="Muy Baja",'Mapa de Riesgos'!$AB$16="Catastrófico"),CONCATENATE("R1C",'Mapa de Riesgos'!$P$16),"")</f>
        <v/>
      </c>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row>
    <row r="47" spans="1:80" ht="46.5" customHeight="1" x14ac:dyDescent="0.25">
      <c r="A47" s="41"/>
      <c r="B47" s="340"/>
      <c r="C47" s="340"/>
      <c r="D47" s="341"/>
      <c r="E47" s="437"/>
      <c r="F47" s="438"/>
      <c r="G47" s="438"/>
      <c r="H47" s="438"/>
      <c r="I47" s="454"/>
      <c r="J47" s="34" t="str">
        <f>IF(AND('Mapa de Riesgos'!$Z$29="Muy Baja",'Mapa de Riesgos'!$AB$29="Leve"),CONCATENATE("R2C",'Mapa de Riesgos'!$P$29),"")</f>
        <v/>
      </c>
      <c r="K47" s="35" t="str">
        <f>IF(AND('Mapa de Riesgos'!$Z$30="Muy Baja",'Mapa de Riesgos'!$AB$30="Leve"),CONCATENATE("R2C",'Mapa de Riesgos'!$P$30),"")</f>
        <v/>
      </c>
      <c r="L47" s="35" t="str">
        <f>IF(AND('Mapa de Riesgos'!$Z$31="Muy Baja",'Mapa de Riesgos'!$AB$31="Leve"),CONCATENATE("R2C",'Mapa de Riesgos'!$P$31),"")</f>
        <v/>
      </c>
      <c r="M47" s="35" t="str">
        <f>IF(AND('Mapa de Riesgos'!$Z$32="Muy Baja",'Mapa de Riesgos'!$AB$32="Leve"),CONCATENATE("R2C",'Mapa de Riesgos'!$P$32),"")</f>
        <v/>
      </c>
      <c r="N47" s="35" t="str">
        <f>IF(AND('Mapa de Riesgos'!$Z$33="Muy Baja",'Mapa de Riesgos'!$AB$33="Leve"),CONCATENATE("R2C",'Mapa de Riesgos'!$P$33),"")</f>
        <v/>
      </c>
      <c r="O47" s="36" t="str">
        <f>IF(AND('Mapa de Riesgos'!$Z$34="Muy Baja",'Mapa de Riesgos'!$AB$34="Leve"),CONCATENATE("R2C",'Mapa de Riesgos'!$P$34),"")</f>
        <v/>
      </c>
      <c r="P47" s="34" t="str">
        <f>IF(AND('Mapa de Riesgos'!$Z$29="Muy Baja",'Mapa de Riesgos'!$AB$29="Menor"),CONCATENATE("R2C",'Mapa de Riesgos'!$P$29),"")</f>
        <v/>
      </c>
      <c r="Q47" s="35" t="str">
        <f>IF(AND('Mapa de Riesgos'!$Z$30="Muy Baja",'Mapa de Riesgos'!$AB$30="Menor"),CONCATENATE("R2C",'Mapa de Riesgos'!$P$30),"")</f>
        <v/>
      </c>
      <c r="R47" s="35" t="str">
        <f>IF(AND('Mapa de Riesgos'!$Z$31="Muy Baja",'Mapa de Riesgos'!$AB$31="Menor"),CONCATENATE("R2C",'Mapa de Riesgos'!$P$31),"")</f>
        <v/>
      </c>
      <c r="S47" s="35" t="str">
        <f>IF(AND('Mapa de Riesgos'!$Z$32="Muy Baja",'Mapa de Riesgos'!$AB$32="Menor"),CONCATENATE("R2C",'Mapa de Riesgos'!$P$32),"")</f>
        <v/>
      </c>
      <c r="T47" s="35" t="str">
        <f>IF(AND('Mapa de Riesgos'!$Z$33="Muy Baja",'Mapa de Riesgos'!$AB$33="Menor"),CONCATENATE("R2C",'Mapa de Riesgos'!$P$33),"")</f>
        <v/>
      </c>
      <c r="U47" s="36" t="str">
        <f>IF(AND('Mapa de Riesgos'!$Z$34="Muy Baja",'Mapa de Riesgos'!$AB$34="Menor"),CONCATENATE("R2C",'Mapa de Riesgos'!$P$34),"")</f>
        <v/>
      </c>
      <c r="V47" s="25" t="str">
        <f>IF(AND('Mapa de Riesgos'!$Z$29="Muy Baja",'Mapa de Riesgos'!$AB$29="Moderado"),CONCATENATE("R2C",'Mapa de Riesgos'!$P$29),"")</f>
        <v/>
      </c>
      <c r="W47" s="26" t="str">
        <f>IF(AND('Mapa de Riesgos'!$Z$30="Muy Baja",'Mapa de Riesgos'!$AB$30="Moderado"),CONCATENATE("R2C",'Mapa de Riesgos'!$P$30),"")</f>
        <v/>
      </c>
      <c r="X47" s="26" t="str">
        <f>IF(AND('Mapa de Riesgos'!$Z$31="Muy Baja",'Mapa de Riesgos'!$AB$31="Moderado"),CONCATENATE("R2C",'Mapa de Riesgos'!$P$31),"")</f>
        <v/>
      </c>
      <c r="Y47" s="26" t="str">
        <f>IF(AND('Mapa de Riesgos'!$Z$32="Muy Baja",'Mapa de Riesgos'!$AB$32="Moderado"),CONCATENATE("R2C",'Mapa de Riesgos'!$P$32),"")</f>
        <v/>
      </c>
      <c r="Z47" s="26" t="str">
        <f>IF(AND('Mapa de Riesgos'!$Z$33="Muy Baja",'Mapa de Riesgos'!$AB$33="Moderado"),CONCATENATE("R2C",'Mapa de Riesgos'!$P$33),"")</f>
        <v/>
      </c>
      <c r="AA47" s="27" t="str">
        <f>IF(AND('Mapa de Riesgos'!$Z$34="Muy Baja",'Mapa de Riesgos'!$AB$34="Moderado"),CONCATENATE("R2C",'Mapa de Riesgos'!$P$34),"")</f>
        <v/>
      </c>
      <c r="AB47" s="10" t="str">
        <f>IF(AND('Mapa de Riesgos'!$Z$29="Muy Baja",'Mapa de Riesgos'!$AB$29="Mayor"),CONCATENATE("R2C",'Mapa de Riesgos'!$P$29),"")</f>
        <v>R2C1</v>
      </c>
      <c r="AC47" s="11" t="str">
        <f>IF(AND('Mapa de Riesgos'!$Z$30="Muy Baja",'Mapa de Riesgos'!$AB$30="Mayor"),CONCATENATE("R2C",'Mapa de Riesgos'!$P$30),"")</f>
        <v/>
      </c>
      <c r="AD47" s="11" t="str">
        <f>IF(AND('Mapa de Riesgos'!$Z$31="Muy Baja",'Mapa de Riesgos'!$AB$31="Mayor"),CONCATENATE("R2C",'Mapa de Riesgos'!$P$31),"")</f>
        <v/>
      </c>
      <c r="AE47" s="11" t="str">
        <f>IF(AND('Mapa de Riesgos'!$Z$32="Muy Baja",'Mapa de Riesgos'!$AB$32="Mayor"),CONCATENATE("R2C",'Mapa de Riesgos'!$P$32),"")</f>
        <v/>
      </c>
      <c r="AF47" s="11" t="str">
        <f>IF(AND('Mapa de Riesgos'!$Z$33="Muy Baja",'Mapa de Riesgos'!$AB$33="Mayor"),CONCATENATE("R2C",'Mapa de Riesgos'!$P$33),"")</f>
        <v/>
      </c>
      <c r="AG47" s="12" t="str">
        <f>IF(AND('Mapa de Riesgos'!$Z$34="Muy Baja",'Mapa de Riesgos'!$AB$34="Mayor"),CONCATENATE("R2C",'Mapa de Riesgos'!$P$34),"")</f>
        <v/>
      </c>
      <c r="AH47" s="13" t="str">
        <f>IF(AND('Mapa de Riesgos'!$Z$29="Muy Baja",'Mapa de Riesgos'!$AB$29="Catastrófico"),CONCATENATE("R2C",'Mapa de Riesgos'!$P$29),"")</f>
        <v/>
      </c>
      <c r="AI47" s="14" t="str">
        <f>IF(AND('Mapa de Riesgos'!$Z$30="Muy Baja",'Mapa de Riesgos'!$AB$30="Catastrófico"),CONCATENATE("R2C",'Mapa de Riesgos'!$P$30),"")</f>
        <v/>
      </c>
      <c r="AJ47" s="14" t="str">
        <f>IF(AND('Mapa de Riesgos'!$Z$31="Muy Baja",'Mapa de Riesgos'!$AB$31="Catastrófico"),CONCATENATE("R2C",'Mapa de Riesgos'!$P$31),"")</f>
        <v/>
      </c>
      <c r="AK47" s="14" t="str">
        <f>IF(AND('Mapa de Riesgos'!$Z$32="Muy Baja",'Mapa de Riesgos'!$AB$32="Catastrófico"),CONCATENATE("R2C",'Mapa de Riesgos'!$P$32),"")</f>
        <v/>
      </c>
      <c r="AL47" s="14" t="str">
        <f>IF(AND('Mapa de Riesgos'!$Z$33="Muy Baja",'Mapa de Riesgos'!$AB$33="Catastrófico"),CONCATENATE("R2C",'Mapa de Riesgos'!$P$33),"")</f>
        <v/>
      </c>
      <c r="AM47" s="15" t="str">
        <f>IF(AND('Mapa de Riesgos'!$Z$34="Muy Baja",'Mapa de Riesgos'!$AB$34="Catastrófico"),CONCATENATE("R2C",'Mapa de Riesgos'!$P$34),"")</f>
        <v/>
      </c>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row>
    <row r="48" spans="1:80" ht="15" customHeight="1" x14ac:dyDescent="0.25">
      <c r="A48" s="41"/>
      <c r="B48" s="340"/>
      <c r="C48" s="340"/>
      <c r="D48" s="341"/>
      <c r="E48" s="437"/>
      <c r="F48" s="438"/>
      <c r="G48" s="438"/>
      <c r="H48" s="438"/>
      <c r="I48" s="454"/>
      <c r="J48" s="34" t="str">
        <f>IF(AND('Mapa de Riesgos'!$Z$35="Muy Baja",'Mapa de Riesgos'!$AB$35="Leve"),CONCATENATE("R3C",'Mapa de Riesgos'!$P$35),"")</f>
        <v>R3C1</v>
      </c>
      <c r="K48" s="35" t="str">
        <f>IF(AND('Mapa de Riesgos'!$Z$36="Muy Baja",'Mapa de Riesgos'!$AB$36="Leve"),CONCATENATE("R3C",'Mapa de Riesgos'!$P$36),"")</f>
        <v/>
      </c>
      <c r="L48" s="35" t="str">
        <f>IF(AND('Mapa de Riesgos'!$Z$37="Muy Baja",'Mapa de Riesgos'!$AB$37="Leve"),CONCATENATE("R3C",'Mapa de Riesgos'!$P$37),"")</f>
        <v/>
      </c>
      <c r="M48" s="35" t="str">
        <f>IF(AND('Mapa de Riesgos'!$Z$38="Muy Baja",'Mapa de Riesgos'!$AB$38="Leve"),CONCATENATE("R3C",'Mapa de Riesgos'!$P$38),"")</f>
        <v/>
      </c>
      <c r="N48" s="35" t="str">
        <f>IF(AND('Mapa de Riesgos'!$Z$39="Muy Baja",'Mapa de Riesgos'!$AB$39="Leve"),CONCATENATE("R3C",'Mapa de Riesgos'!$P$39),"")</f>
        <v/>
      </c>
      <c r="O48" s="36" t="str">
        <f>IF(AND('Mapa de Riesgos'!$Z$40="Muy Baja",'Mapa de Riesgos'!$AB$40="Leve"),CONCATENATE("R3C",'Mapa de Riesgos'!$P$40),"")</f>
        <v/>
      </c>
      <c r="P48" s="34" t="str">
        <f>IF(AND('Mapa de Riesgos'!$Z$35="Muy Baja",'Mapa de Riesgos'!$AB$35="Menor"),CONCATENATE("R3C",'Mapa de Riesgos'!$P$35),"")</f>
        <v/>
      </c>
      <c r="Q48" s="35" t="str">
        <f>IF(AND('Mapa de Riesgos'!$Z$36="Muy Baja",'Mapa de Riesgos'!$AB$36="Menor"),CONCATENATE("R3C",'Mapa de Riesgos'!$P$36),"")</f>
        <v/>
      </c>
      <c r="R48" s="35" t="str">
        <f>IF(AND('Mapa de Riesgos'!$Z$37="Muy Baja",'Mapa de Riesgos'!$AB$37="Menor"),CONCATENATE("R3C",'Mapa de Riesgos'!$P$37),"")</f>
        <v/>
      </c>
      <c r="S48" s="35" t="str">
        <f>IF(AND('Mapa de Riesgos'!$Z$38="Muy Baja",'Mapa de Riesgos'!$AB$38="Menor"),CONCATENATE("R3C",'Mapa de Riesgos'!$P$38),"")</f>
        <v/>
      </c>
      <c r="T48" s="35" t="str">
        <f>IF(AND('Mapa de Riesgos'!$Z$39="Muy Baja",'Mapa de Riesgos'!$AB$39="Menor"),CONCATENATE("R3C",'Mapa de Riesgos'!$P$39),"")</f>
        <v/>
      </c>
      <c r="U48" s="36" t="str">
        <f>IF(AND('Mapa de Riesgos'!$Z$40="Muy Baja",'Mapa de Riesgos'!$AB$40="Menor"),CONCATENATE("R3C",'Mapa de Riesgos'!$P$40),"")</f>
        <v/>
      </c>
      <c r="V48" s="25" t="str">
        <f>IF(AND('Mapa de Riesgos'!$Z$35="Muy Baja",'Mapa de Riesgos'!$AB$35="Moderado"),CONCATENATE("R3C",'Mapa de Riesgos'!$P$35),"")</f>
        <v/>
      </c>
      <c r="W48" s="26" t="str">
        <f>IF(AND('Mapa de Riesgos'!$Z$36="Muy Baja",'Mapa de Riesgos'!$AB$36="Moderado"),CONCATENATE("R3C",'Mapa de Riesgos'!$P$36),"")</f>
        <v/>
      </c>
      <c r="X48" s="26" t="str">
        <f>IF(AND('Mapa de Riesgos'!$Z$37="Muy Baja",'Mapa de Riesgos'!$AB$37="Moderado"),CONCATENATE("R3C",'Mapa de Riesgos'!$P$37),"")</f>
        <v/>
      </c>
      <c r="Y48" s="26" t="str">
        <f>IF(AND('Mapa de Riesgos'!$Z$38="Muy Baja",'Mapa de Riesgos'!$AB$38="Moderado"),CONCATENATE("R3C",'Mapa de Riesgos'!$P$38),"")</f>
        <v/>
      </c>
      <c r="Z48" s="26" t="str">
        <f>IF(AND('Mapa de Riesgos'!$Z$39="Muy Baja",'Mapa de Riesgos'!$AB$39="Moderado"),CONCATENATE("R3C",'Mapa de Riesgos'!$P$39),"")</f>
        <v/>
      </c>
      <c r="AA48" s="27" t="str">
        <f>IF(AND('Mapa de Riesgos'!$Z$40="Muy Baja",'Mapa de Riesgos'!$AB$40="Moderado"),CONCATENATE("R3C",'Mapa de Riesgos'!$P$40),"")</f>
        <v/>
      </c>
      <c r="AB48" s="10" t="str">
        <f>IF(AND('Mapa de Riesgos'!$Z$35="Muy Baja",'Mapa de Riesgos'!$AB$35="Mayor"),CONCATENATE("R3C",'Mapa de Riesgos'!$P$35),"")</f>
        <v/>
      </c>
      <c r="AC48" s="11" t="str">
        <f>IF(AND('Mapa de Riesgos'!$Z$36="Muy Baja",'Mapa de Riesgos'!$AB$36="Mayor"),CONCATENATE("R3C",'Mapa de Riesgos'!$P$36),"")</f>
        <v/>
      </c>
      <c r="AD48" s="11" t="str">
        <f>IF(AND('Mapa de Riesgos'!$Z$37="Muy Baja",'Mapa de Riesgos'!$AB$37="Mayor"),CONCATENATE("R3C",'Mapa de Riesgos'!$P$37),"")</f>
        <v/>
      </c>
      <c r="AE48" s="11" t="str">
        <f>IF(AND('Mapa de Riesgos'!$Z$38="Muy Baja",'Mapa de Riesgos'!$AB$38="Mayor"),CONCATENATE("R3C",'Mapa de Riesgos'!$P$38),"")</f>
        <v/>
      </c>
      <c r="AF48" s="11" t="str">
        <f>IF(AND('Mapa de Riesgos'!$Z$39="Muy Baja",'Mapa de Riesgos'!$AB$39="Mayor"),CONCATENATE("R3C",'Mapa de Riesgos'!$P$39),"")</f>
        <v/>
      </c>
      <c r="AG48" s="12" t="str">
        <f>IF(AND('Mapa de Riesgos'!$Z$40="Muy Baja",'Mapa de Riesgos'!$AB$40="Mayor"),CONCATENATE("R3C",'Mapa de Riesgos'!$P$40),"")</f>
        <v/>
      </c>
      <c r="AH48" s="13" t="str">
        <f>IF(AND('Mapa de Riesgos'!$Z$35="Muy Baja",'Mapa de Riesgos'!$AB$35="Catastrófico"),CONCATENATE("R3C",'Mapa de Riesgos'!$P$35),"")</f>
        <v/>
      </c>
      <c r="AI48" s="14" t="str">
        <f>IF(AND('Mapa de Riesgos'!$Z$36="Muy Baja",'Mapa de Riesgos'!$AB$36="Catastrófico"),CONCATENATE("R3C",'Mapa de Riesgos'!$P$36),"")</f>
        <v/>
      </c>
      <c r="AJ48" s="14" t="str">
        <f>IF(AND('Mapa de Riesgos'!$Z$37="Muy Baja",'Mapa de Riesgos'!$AB$37="Catastrófico"),CONCATENATE("R3C",'Mapa de Riesgos'!$P$37),"")</f>
        <v/>
      </c>
      <c r="AK48" s="14" t="str">
        <f>IF(AND('Mapa de Riesgos'!$Z$38="Muy Baja",'Mapa de Riesgos'!$AB$38="Catastrófico"),CONCATENATE("R3C",'Mapa de Riesgos'!$P$38),"")</f>
        <v/>
      </c>
      <c r="AL48" s="14" t="str">
        <f>IF(AND('Mapa de Riesgos'!$Z$39="Muy Baja",'Mapa de Riesgos'!$AB$39="Catastrófico"),CONCATENATE("R3C",'Mapa de Riesgos'!$P$39),"")</f>
        <v/>
      </c>
      <c r="AM48" s="15" t="str">
        <f>IF(AND('Mapa de Riesgos'!$Z$40="Muy Baja",'Mapa de Riesgos'!$AB$40="Catastrófico"),CONCATENATE("R3C",'Mapa de Riesgos'!$P$40),"")</f>
        <v/>
      </c>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row>
    <row r="49" spans="1:80" ht="15" customHeight="1" x14ac:dyDescent="0.25">
      <c r="A49" s="41"/>
      <c r="B49" s="340"/>
      <c r="C49" s="340"/>
      <c r="D49" s="341"/>
      <c r="E49" s="439"/>
      <c r="F49" s="438"/>
      <c r="G49" s="438"/>
      <c r="H49" s="438"/>
      <c r="I49" s="454"/>
      <c r="J49" s="34" t="str">
        <f>IF(AND('Mapa de Riesgos'!$Z$47="Muy Baja",'Mapa de Riesgos'!$AB$47="Leve"),CONCATENATE("R4C",'Mapa de Riesgos'!$P$47),"")</f>
        <v>R4C1</v>
      </c>
      <c r="K49" s="35" t="str">
        <f>IF(AND('Mapa de Riesgos'!$Z$48="Muy Baja",'Mapa de Riesgos'!$AB$48="Leve"),CONCATENATE("R4C",'Mapa de Riesgos'!$P$48),"")</f>
        <v/>
      </c>
      <c r="L49" s="35" t="str">
        <f>IF(AND('Mapa de Riesgos'!$Z$49="Muy Baja",'Mapa de Riesgos'!$AB$49="Leve"),CONCATENATE("R4C",'Mapa de Riesgos'!$P$49),"")</f>
        <v/>
      </c>
      <c r="M49" s="35" t="str">
        <f>IF(AND('Mapa de Riesgos'!$Z$50="Muy Baja",'Mapa de Riesgos'!$AB$50="Leve"),CONCATENATE("R4C",'Mapa de Riesgos'!$P$50),"")</f>
        <v/>
      </c>
      <c r="N49" s="35" t="str">
        <f>IF(AND('Mapa de Riesgos'!$Z$51="Muy Baja",'Mapa de Riesgos'!$AB$51="Leve"),CONCATENATE("R4C",'Mapa de Riesgos'!$P$51),"")</f>
        <v/>
      </c>
      <c r="O49" s="36" t="str">
        <f>IF(AND('Mapa de Riesgos'!$Z$52="Muy Baja",'Mapa de Riesgos'!$AB$52="Leve"),CONCATENATE("R4C",'Mapa de Riesgos'!$P$52),"")</f>
        <v/>
      </c>
      <c r="P49" s="34" t="str">
        <f>IF(AND('Mapa de Riesgos'!$Z$47="Muy Baja",'Mapa de Riesgos'!$AB$47="Menor"),CONCATENATE("R4C",'Mapa de Riesgos'!$P$47),"")</f>
        <v/>
      </c>
      <c r="Q49" s="35" t="str">
        <f>IF(AND('Mapa de Riesgos'!$Z$48="Muy Baja",'Mapa de Riesgos'!$AB$48="Menor"),CONCATENATE("R4C",'Mapa de Riesgos'!$P$48),"")</f>
        <v/>
      </c>
      <c r="R49" s="35" t="str">
        <f>IF(AND('Mapa de Riesgos'!$Z$49="Muy Baja",'Mapa de Riesgos'!$AB$49="Menor"),CONCATENATE("R4C",'Mapa de Riesgos'!$P$49),"")</f>
        <v/>
      </c>
      <c r="S49" s="35" t="str">
        <f>IF(AND('Mapa de Riesgos'!$Z$50="Muy Baja",'Mapa de Riesgos'!$AB$50="Menor"),CONCATENATE("R4C",'Mapa de Riesgos'!$P$50),"")</f>
        <v/>
      </c>
      <c r="T49" s="35" t="str">
        <f>IF(AND('Mapa de Riesgos'!$Z$51="Muy Baja",'Mapa de Riesgos'!$AB$51="Menor"),CONCATENATE("R4C",'Mapa de Riesgos'!$P$51),"")</f>
        <v/>
      </c>
      <c r="U49" s="36" t="str">
        <f>IF(AND('Mapa de Riesgos'!$Z$52="Muy Baja",'Mapa de Riesgos'!$AB$52="Menor"),CONCATENATE("R4C",'Mapa de Riesgos'!$P$52),"")</f>
        <v/>
      </c>
      <c r="V49" s="25" t="str">
        <f>IF(AND('Mapa de Riesgos'!$Z$47="Muy Baja",'Mapa de Riesgos'!$AB$47="Moderado"),CONCATENATE("R4C",'Mapa de Riesgos'!$P$47),"")</f>
        <v/>
      </c>
      <c r="W49" s="26" t="str">
        <f>IF(AND('Mapa de Riesgos'!$Z$48="Muy Baja",'Mapa de Riesgos'!$AB$48="Moderado"),CONCATENATE("R4C",'Mapa de Riesgos'!$P$48),"")</f>
        <v/>
      </c>
      <c r="X49" s="26" t="str">
        <f>IF(AND('Mapa de Riesgos'!$Z$49="Muy Baja",'Mapa de Riesgos'!$AB$49="Moderado"),CONCATENATE("R4C",'Mapa de Riesgos'!$P$49),"")</f>
        <v/>
      </c>
      <c r="Y49" s="26" t="str">
        <f>IF(AND('Mapa de Riesgos'!$Z$50="Muy Baja",'Mapa de Riesgos'!$AB$50="Moderado"),CONCATENATE("R4C",'Mapa de Riesgos'!$P$50),"")</f>
        <v/>
      </c>
      <c r="Z49" s="26" t="str">
        <f>IF(AND('Mapa de Riesgos'!$Z$51="Muy Baja",'Mapa de Riesgos'!$AB$51="Moderado"),CONCATENATE("R4C",'Mapa de Riesgos'!$P$51),"")</f>
        <v/>
      </c>
      <c r="AA49" s="27" t="str">
        <f>IF(AND('Mapa de Riesgos'!$Z$52="Muy Baja",'Mapa de Riesgos'!$AB$52="Moderado"),CONCATENATE("R4C",'Mapa de Riesgos'!$P$52),"")</f>
        <v/>
      </c>
      <c r="AB49" s="10" t="str">
        <f>IF(AND('Mapa de Riesgos'!$Z$47="Muy Baja",'Mapa de Riesgos'!$AB$47="Mayor"),CONCATENATE("R4C",'Mapa de Riesgos'!$P$47),"")</f>
        <v/>
      </c>
      <c r="AC49" s="11" t="str">
        <f>IF(AND('Mapa de Riesgos'!$Z$48="Muy Baja",'Mapa de Riesgos'!$AB$48="Mayor"),CONCATENATE("R4C",'Mapa de Riesgos'!$P$48),"")</f>
        <v/>
      </c>
      <c r="AD49" s="11" t="str">
        <f>IF(AND('Mapa de Riesgos'!$Z$49="Muy Baja",'Mapa de Riesgos'!$AB$49="Mayor"),CONCATENATE("R4C",'Mapa de Riesgos'!$P$49),"")</f>
        <v/>
      </c>
      <c r="AE49" s="11" t="str">
        <f>IF(AND('Mapa de Riesgos'!$Z$50="Muy Baja",'Mapa de Riesgos'!$AB$50="Mayor"),CONCATENATE("R4C",'Mapa de Riesgos'!$P$50),"")</f>
        <v/>
      </c>
      <c r="AF49" s="11" t="str">
        <f>IF(AND('Mapa de Riesgos'!$Z$51="Muy Baja",'Mapa de Riesgos'!$AB$51="Mayor"),CONCATENATE("R4C",'Mapa de Riesgos'!$P$51),"")</f>
        <v/>
      </c>
      <c r="AG49" s="12" t="str">
        <f>IF(AND('Mapa de Riesgos'!$Z$52="Muy Baja",'Mapa de Riesgos'!$AB$52="Mayor"),CONCATENATE("R4C",'Mapa de Riesgos'!$P$52),"")</f>
        <v/>
      </c>
      <c r="AH49" s="13" t="str">
        <f>IF(AND('Mapa de Riesgos'!$Z$47="Muy Baja",'Mapa de Riesgos'!$AB$47="Catastrófico"),CONCATENATE("R4C",'Mapa de Riesgos'!$P$47),"")</f>
        <v/>
      </c>
      <c r="AI49" s="14" t="str">
        <f>IF(AND('Mapa de Riesgos'!$Z$48="Muy Baja",'Mapa de Riesgos'!$AB$48="Catastrófico"),CONCATENATE("R4C",'Mapa de Riesgos'!$P$48),"")</f>
        <v/>
      </c>
      <c r="AJ49" s="14" t="str">
        <f>IF(AND('Mapa de Riesgos'!$Z$49="Muy Baja",'Mapa de Riesgos'!$AB$49="Catastrófico"),CONCATENATE("R4C",'Mapa de Riesgos'!$P$49),"")</f>
        <v/>
      </c>
      <c r="AK49" s="14" t="str">
        <f>IF(AND('Mapa de Riesgos'!$Z$50="Muy Baja",'Mapa de Riesgos'!$AB$50="Catastrófico"),CONCATENATE("R4C",'Mapa de Riesgos'!$P$50),"")</f>
        <v/>
      </c>
      <c r="AL49" s="14" t="str">
        <f>IF(AND('Mapa de Riesgos'!$Z$51="Muy Baja",'Mapa de Riesgos'!$AB$51="Catastrófico"),CONCATENATE("R4C",'Mapa de Riesgos'!$P$51),"")</f>
        <v/>
      </c>
      <c r="AM49" s="15" t="str">
        <f>IF(AND('Mapa de Riesgos'!$Z$52="Muy Baja",'Mapa de Riesgos'!$AB$52="Catastrófico"),CONCATENATE("R4C",'Mapa de Riesgos'!$P$52),"")</f>
        <v/>
      </c>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row>
    <row r="50" spans="1:80" ht="15" customHeight="1" x14ac:dyDescent="0.25">
      <c r="A50" s="41"/>
      <c r="B50" s="340"/>
      <c r="C50" s="340"/>
      <c r="D50" s="341"/>
      <c r="E50" s="439"/>
      <c r="F50" s="438"/>
      <c r="G50" s="438"/>
      <c r="H50" s="438"/>
      <c r="I50" s="454"/>
      <c r="J50" s="34" t="e">
        <f>IF(AND('Mapa de Riesgos'!#REF!="Muy Baja",'Mapa de Riesgos'!#REF!="Leve"),CONCATENATE("R5C",'Mapa de Riesgos'!#REF!),"")</f>
        <v>#REF!</v>
      </c>
      <c r="K50" s="35" t="e">
        <f>IF(AND('Mapa de Riesgos'!#REF!="Muy Baja",'Mapa de Riesgos'!#REF!="Leve"),CONCATENATE("R5C",'Mapa de Riesgos'!#REF!),"")</f>
        <v>#REF!</v>
      </c>
      <c r="L50" s="35" t="e">
        <f>IF(AND('Mapa de Riesgos'!#REF!="Muy Baja",'Mapa de Riesgos'!#REF!="Leve"),CONCATENATE("R5C",'Mapa de Riesgos'!#REF!),"")</f>
        <v>#REF!</v>
      </c>
      <c r="M50" s="35" t="e">
        <f>IF(AND('Mapa de Riesgos'!#REF!="Muy Baja",'Mapa de Riesgos'!#REF!="Leve"),CONCATENATE("R5C",'Mapa de Riesgos'!#REF!),"")</f>
        <v>#REF!</v>
      </c>
      <c r="N50" s="35" t="e">
        <f>IF(AND('Mapa de Riesgos'!#REF!="Muy Baja",'Mapa de Riesgos'!#REF!="Leve"),CONCATENATE("R5C",'Mapa de Riesgos'!#REF!),"")</f>
        <v>#REF!</v>
      </c>
      <c r="O50" s="36" t="e">
        <f>IF(AND('Mapa de Riesgos'!#REF!="Muy Baja",'Mapa de Riesgos'!#REF!="Leve"),CONCATENATE("R5C",'Mapa de Riesgos'!#REF!),"")</f>
        <v>#REF!</v>
      </c>
      <c r="P50" s="34" t="e">
        <f>IF(AND('Mapa de Riesgos'!#REF!="Muy Baja",'Mapa de Riesgos'!#REF!="Menor"),CONCATENATE("R5C",'Mapa de Riesgos'!#REF!),"")</f>
        <v>#REF!</v>
      </c>
      <c r="Q50" s="35" t="e">
        <f>IF(AND('Mapa de Riesgos'!#REF!="Muy Baja",'Mapa de Riesgos'!#REF!="Menor"),CONCATENATE("R5C",'Mapa de Riesgos'!#REF!),"")</f>
        <v>#REF!</v>
      </c>
      <c r="R50" s="35" t="e">
        <f>IF(AND('Mapa de Riesgos'!#REF!="Muy Baja",'Mapa de Riesgos'!#REF!="Menor"),CONCATENATE("R5C",'Mapa de Riesgos'!#REF!),"")</f>
        <v>#REF!</v>
      </c>
      <c r="S50" s="35" t="e">
        <f>IF(AND('Mapa de Riesgos'!#REF!="Muy Baja",'Mapa de Riesgos'!#REF!="Menor"),CONCATENATE("R5C",'Mapa de Riesgos'!#REF!),"")</f>
        <v>#REF!</v>
      </c>
      <c r="T50" s="35" t="e">
        <f>IF(AND('Mapa de Riesgos'!#REF!="Muy Baja",'Mapa de Riesgos'!#REF!="Menor"),CONCATENATE("R5C",'Mapa de Riesgos'!#REF!),"")</f>
        <v>#REF!</v>
      </c>
      <c r="U50" s="36" t="e">
        <f>IF(AND('Mapa de Riesgos'!#REF!="Muy Baja",'Mapa de Riesgos'!#REF!="Menor"),CONCATENATE("R5C",'Mapa de Riesgos'!#REF!),"")</f>
        <v>#REF!</v>
      </c>
      <c r="V50" s="25" t="e">
        <f>IF(AND('Mapa de Riesgos'!#REF!="Muy Baja",'Mapa de Riesgos'!#REF!="Moderado"),CONCATENATE("R5C",'Mapa de Riesgos'!#REF!),"")</f>
        <v>#REF!</v>
      </c>
      <c r="W50" s="26" t="e">
        <f>IF(AND('Mapa de Riesgos'!#REF!="Muy Baja",'Mapa de Riesgos'!#REF!="Moderado"),CONCATENATE("R5C",'Mapa de Riesgos'!#REF!),"")</f>
        <v>#REF!</v>
      </c>
      <c r="X50" s="26" t="e">
        <f>IF(AND('Mapa de Riesgos'!#REF!="Muy Baja",'Mapa de Riesgos'!#REF!="Moderado"),CONCATENATE("R5C",'Mapa de Riesgos'!#REF!),"")</f>
        <v>#REF!</v>
      </c>
      <c r="Y50" s="26" t="e">
        <f>IF(AND('Mapa de Riesgos'!#REF!="Muy Baja",'Mapa de Riesgos'!#REF!="Moderado"),CONCATENATE("R5C",'Mapa de Riesgos'!#REF!),"")</f>
        <v>#REF!</v>
      </c>
      <c r="Z50" s="26" t="e">
        <f>IF(AND('Mapa de Riesgos'!#REF!="Muy Baja",'Mapa de Riesgos'!#REF!="Moderado"),CONCATENATE("R5C",'Mapa de Riesgos'!#REF!),"")</f>
        <v>#REF!</v>
      </c>
      <c r="AA50" s="27" t="e">
        <f>IF(AND('Mapa de Riesgos'!#REF!="Muy Baja",'Mapa de Riesgos'!#REF!="Moderado"),CONCATENATE("R5C",'Mapa de Riesgos'!#REF!),"")</f>
        <v>#REF!</v>
      </c>
      <c r="AB50" s="10" t="e">
        <f>IF(AND('Mapa de Riesgos'!#REF!="Muy Baja",'Mapa de Riesgos'!#REF!="Mayor"),CONCATENATE("R5C",'Mapa de Riesgos'!#REF!),"")</f>
        <v>#REF!</v>
      </c>
      <c r="AC50" s="11" t="e">
        <f>IF(AND('Mapa de Riesgos'!#REF!="Muy Baja",'Mapa de Riesgos'!#REF!="Mayor"),CONCATENATE("R5C",'Mapa de Riesgos'!#REF!),"")</f>
        <v>#REF!</v>
      </c>
      <c r="AD50" s="11" t="e">
        <f>IF(AND('Mapa de Riesgos'!#REF!="Muy Baja",'Mapa de Riesgos'!#REF!="Mayor"),CONCATENATE("R5C",'Mapa de Riesgos'!#REF!),"")</f>
        <v>#REF!</v>
      </c>
      <c r="AE50" s="11" t="e">
        <f>IF(AND('Mapa de Riesgos'!#REF!="Muy Baja",'Mapa de Riesgos'!#REF!="Mayor"),CONCATENATE("R5C",'Mapa de Riesgos'!#REF!),"")</f>
        <v>#REF!</v>
      </c>
      <c r="AF50" s="11" t="e">
        <f>IF(AND('Mapa de Riesgos'!#REF!="Muy Baja",'Mapa de Riesgos'!#REF!="Mayor"),CONCATENATE("R5C",'Mapa de Riesgos'!#REF!),"")</f>
        <v>#REF!</v>
      </c>
      <c r="AG50" s="12" t="e">
        <f>IF(AND('Mapa de Riesgos'!#REF!="Muy Baja",'Mapa de Riesgos'!#REF!="Mayor"),CONCATENATE("R5C",'Mapa de Riesgos'!#REF!),"")</f>
        <v>#REF!</v>
      </c>
      <c r="AH50" s="13" t="e">
        <f>IF(AND('Mapa de Riesgos'!#REF!="Muy Baja",'Mapa de Riesgos'!#REF!="Catastrófico"),CONCATENATE("R5C",'Mapa de Riesgos'!#REF!),"")</f>
        <v>#REF!</v>
      </c>
      <c r="AI50" s="14" t="e">
        <f>IF(AND('Mapa de Riesgos'!#REF!="Muy Baja",'Mapa de Riesgos'!#REF!="Catastrófico"),CONCATENATE("R5C",'Mapa de Riesgos'!#REF!),"")</f>
        <v>#REF!</v>
      </c>
      <c r="AJ50" s="14" t="e">
        <f>IF(AND('Mapa de Riesgos'!#REF!="Muy Baja",'Mapa de Riesgos'!#REF!="Catastrófico"),CONCATENATE("R5C",'Mapa de Riesgos'!#REF!),"")</f>
        <v>#REF!</v>
      </c>
      <c r="AK50" s="14" t="e">
        <f>IF(AND('Mapa de Riesgos'!#REF!="Muy Baja",'Mapa de Riesgos'!#REF!="Catastrófico"),CONCATENATE("R5C",'Mapa de Riesgos'!#REF!),"")</f>
        <v>#REF!</v>
      </c>
      <c r="AL50" s="14" t="e">
        <f>IF(AND('Mapa de Riesgos'!#REF!="Muy Baja",'Mapa de Riesgos'!#REF!="Catastrófico"),CONCATENATE("R5C",'Mapa de Riesgos'!#REF!),"")</f>
        <v>#REF!</v>
      </c>
      <c r="AM50" s="15" t="e">
        <f>IF(AND('Mapa de Riesgos'!#REF!="Muy Baja",'Mapa de Riesgos'!#REF!="Catastrófico"),CONCATENATE("R5C",'Mapa de Riesgos'!#REF!),"")</f>
        <v>#REF!</v>
      </c>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row>
    <row r="51" spans="1:80" ht="15" customHeight="1" x14ac:dyDescent="0.25">
      <c r="A51" s="41"/>
      <c r="B51" s="340"/>
      <c r="C51" s="340"/>
      <c r="D51" s="341"/>
      <c r="E51" s="439"/>
      <c r="F51" s="438"/>
      <c r="G51" s="438"/>
      <c r="H51" s="438"/>
      <c r="I51" s="454"/>
      <c r="J51" s="34" t="str">
        <f>IF(AND('Mapa de Riesgos'!$Z$53="Muy Baja",'Mapa de Riesgos'!$AB$53="Leve"),CONCATENATE("R6C",'Mapa de Riesgos'!$P$53),"")</f>
        <v/>
      </c>
      <c r="K51" s="35" t="str">
        <f>IF(AND('Mapa de Riesgos'!$Z$54="Muy Baja",'Mapa de Riesgos'!$AB$54="Leve"),CONCATENATE("R6C",'Mapa de Riesgos'!$P$54),"")</f>
        <v/>
      </c>
      <c r="L51" s="35" t="str">
        <f>IF(AND('Mapa de Riesgos'!$Z$55="Muy Baja",'Mapa de Riesgos'!$AB$55="Leve"),CONCATENATE("R6C",'Mapa de Riesgos'!$P$55),"")</f>
        <v/>
      </c>
      <c r="M51" s="35" t="str">
        <f>IF(AND('Mapa de Riesgos'!$Z$56="Muy Baja",'Mapa de Riesgos'!$AB$56="Leve"),CONCATENATE("R6C",'Mapa de Riesgos'!$P$56),"")</f>
        <v>R6C4</v>
      </c>
      <c r="N51" s="35" t="str">
        <f>IF(AND('Mapa de Riesgos'!$Z$57="Muy Baja",'Mapa de Riesgos'!$AB$57="Leve"),CONCATENATE("R6C",'Mapa de Riesgos'!$P$57),"")</f>
        <v/>
      </c>
      <c r="O51" s="36" t="str">
        <f>IF(AND('Mapa de Riesgos'!$Z$58="Muy Baja",'Mapa de Riesgos'!$AB$58="Leve"),CONCATENATE("R6C",'Mapa de Riesgos'!$P$58),"")</f>
        <v/>
      </c>
      <c r="P51" s="34" t="str">
        <f>IF(AND('Mapa de Riesgos'!$Z$53="Muy Baja",'Mapa de Riesgos'!$AB$53="Menor"),CONCATENATE("R6C",'Mapa de Riesgos'!$P$53),"")</f>
        <v>R6C1</v>
      </c>
      <c r="Q51" s="35" t="str">
        <f>IF(AND('Mapa de Riesgos'!$Z$54="Muy Baja",'Mapa de Riesgos'!$AB$54="Menor"),CONCATENATE("R6C",'Mapa de Riesgos'!$P$54),"")</f>
        <v>R6C2</v>
      </c>
      <c r="R51" s="35" t="str">
        <f>IF(AND('Mapa de Riesgos'!$Z$55="Muy Baja",'Mapa de Riesgos'!$AB$55="Menor"),CONCATENATE("R6C",'Mapa de Riesgos'!$P$55),"")</f>
        <v>R6C3</v>
      </c>
      <c r="S51" s="35" t="str">
        <f>IF(AND('Mapa de Riesgos'!$Z$56="Muy Baja",'Mapa de Riesgos'!$AB$56="Menor"),CONCATENATE("R6C",'Mapa de Riesgos'!$P$56),"")</f>
        <v/>
      </c>
      <c r="T51" s="35" t="str">
        <f>IF(AND('Mapa de Riesgos'!$Z$57="Muy Baja",'Mapa de Riesgos'!$AB$57="Menor"),CONCATENATE("R6C",'Mapa de Riesgos'!$P$57),"")</f>
        <v/>
      </c>
      <c r="U51" s="36" t="str">
        <f>IF(AND('Mapa de Riesgos'!$Z$58="Muy Baja",'Mapa de Riesgos'!$AB$58="Menor"),CONCATENATE("R6C",'Mapa de Riesgos'!$P$58),"")</f>
        <v/>
      </c>
      <c r="V51" s="25" t="str">
        <f>IF(AND('Mapa de Riesgos'!$Z$53="Muy Baja",'Mapa de Riesgos'!$AB$53="Moderado"),CONCATENATE("R6C",'Mapa de Riesgos'!$P$53),"")</f>
        <v/>
      </c>
      <c r="W51" s="26" t="str">
        <f>IF(AND('Mapa de Riesgos'!$Z$54="Muy Baja",'Mapa de Riesgos'!$AB$54="Moderado"),CONCATENATE("R6C",'Mapa de Riesgos'!$P$54),"")</f>
        <v/>
      </c>
      <c r="X51" s="26" t="str">
        <f>IF(AND('Mapa de Riesgos'!$Z$55="Muy Baja",'Mapa de Riesgos'!$AB$55="Moderado"),CONCATENATE("R6C",'Mapa de Riesgos'!$P$55),"")</f>
        <v/>
      </c>
      <c r="Y51" s="26" t="str">
        <f>IF(AND('Mapa de Riesgos'!$Z$56="Muy Baja",'Mapa de Riesgos'!$AB$56="Moderado"),CONCATENATE("R6C",'Mapa de Riesgos'!$P$56),"")</f>
        <v/>
      </c>
      <c r="Z51" s="26" t="str">
        <f>IF(AND('Mapa de Riesgos'!$Z$57="Muy Baja",'Mapa de Riesgos'!$AB$57="Moderado"),CONCATENATE("R6C",'Mapa de Riesgos'!$P$57),"")</f>
        <v/>
      </c>
      <c r="AA51" s="27" t="str">
        <f>IF(AND('Mapa de Riesgos'!$Z$58="Muy Baja",'Mapa de Riesgos'!$AB$58="Moderado"),CONCATENATE("R6C",'Mapa de Riesgos'!$P$58),"")</f>
        <v/>
      </c>
      <c r="AB51" s="10" t="str">
        <f>IF(AND('Mapa de Riesgos'!$Z$53="Muy Baja",'Mapa de Riesgos'!$AB$53="Mayor"),CONCATENATE("R6C",'Mapa de Riesgos'!$P$53),"")</f>
        <v/>
      </c>
      <c r="AC51" s="11" t="str">
        <f>IF(AND('Mapa de Riesgos'!$Z$54="Muy Baja",'Mapa de Riesgos'!$AB$54="Mayor"),CONCATENATE("R6C",'Mapa de Riesgos'!$P$54),"")</f>
        <v/>
      </c>
      <c r="AD51" s="11" t="str">
        <f>IF(AND('Mapa de Riesgos'!$Z$55="Muy Baja",'Mapa de Riesgos'!$AB$55="Mayor"),CONCATENATE("R6C",'Mapa de Riesgos'!$P$55),"")</f>
        <v/>
      </c>
      <c r="AE51" s="11" t="str">
        <f>IF(AND('Mapa de Riesgos'!$Z$56="Muy Baja",'Mapa de Riesgos'!$AB$56="Mayor"),CONCATENATE("R6C",'Mapa de Riesgos'!$P$56),"")</f>
        <v/>
      </c>
      <c r="AF51" s="11" t="str">
        <f>IF(AND('Mapa de Riesgos'!$Z$57="Muy Baja",'Mapa de Riesgos'!$AB$57="Mayor"),CONCATENATE("R6C",'Mapa de Riesgos'!$P$57),"")</f>
        <v/>
      </c>
      <c r="AG51" s="12" t="str">
        <f>IF(AND('Mapa de Riesgos'!$Z$58="Muy Baja",'Mapa de Riesgos'!$AB$58="Mayor"),CONCATENATE("R6C",'Mapa de Riesgos'!$P$58),"")</f>
        <v/>
      </c>
      <c r="AH51" s="13" t="str">
        <f>IF(AND('Mapa de Riesgos'!$Z$53="Muy Baja",'Mapa de Riesgos'!$AB$53="Catastrófico"),CONCATENATE("R6C",'Mapa de Riesgos'!$P$53),"")</f>
        <v/>
      </c>
      <c r="AI51" s="14" t="str">
        <f>IF(AND('Mapa de Riesgos'!$Z$54="Muy Baja",'Mapa de Riesgos'!$AB$54="Catastrófico"),CONCATENATE("R6C",'Mapa de Riesgos'!$P$54),"")</f>
        <v/>
      </c>
      <c r="AJ51" s="14" t="str">
        <f>IF(AND('Mapa de Riesgos'!$Z$55="Muy Baja",'Mapa de Riesgos'!$AB$55="Catastrófico"),CONCATENATE("R6C",'Mapa de Riesgos'!$P$55),"")</f>
        <v/>
      </c>
      <c r="AK51" s="14" t="str">
        <f>IF(AND('Mapa de Riesgos'!$Z$56="Muy Baja",'Mapa de Riesgos'!$AB$56="Catastrófico"),CONCATENATE("R6C",'Mapa de Riesgos'!$P$56),"")</f>
        <v/>
      </c>
      <c r="AL51" s="14" t="str">
        <f>IF(AND('Mapa de Riesgos'!$Z$57="Muy Baja",'Mapa de Riesgos'!$AB$57="Catastrófico"),CONCATENATE("R6C",'Mapa de Riesgos'!$P$57),"")</f>
        <v/>
      </c>
      <c r="AM51" s="15" t="str">
        <f>IF(AND('Mapa de Riesgos'!$Z$58="Muy Baja",'Mapa de Riesgos'!$AB$58="Catastrófico"),CONCATENATE("R6C",'Mapa de Riesgos'!$P$58),"")</f>
        <v/>
      </c>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row>
    <row r="52" spans="1:80" ht="15" customHeight="1" x14ac:dyDescent="0.25">
      <c r="A52" s="41"/>
      <c r="B52" s="340"/>
      <c r="C52" s="340"/>
      <c r="D52" s="341"/>
      <c r="E52" s="439"/>
      <c r="F52" s="438"/>
      <c r="G52" s="438"/>
      <c r="H52" s="438"/>
      <c r="I52" s="454"/>
      <c r="J52" s="34" t="str">
        <f>IF(AND('Mapa de Riesgos'!$Z$23="Muy Baja",'Mapa de Riesgos'!$AB$23="Leve"),CONCATENATE("R7C",'Mapa de Riesgos'!$P$23),"")</f>
        <v>R7C1</v>
      </c>
      <c r="K52" s="35" t="str">
        <f>IF(AND('Mapa de Riesgos'!$Z$24="Muy Baja",'Mapa de Riesgos'!$AB$24="Leve"),CONCATENATE("R7C",'Mapa de Riesgos'!$P$24),"")</f>
        <v/>
      </c>
      <c r="L52" s="35" t="str">
        <f>IF(AND('Mapa de Riesgos'!$Z$25="Muy Baja",'Mapa de Riesgos'!$AB$25="Leve"),CONCATENATE("R7C",'Mapa de Riesgos'!$P$25),"")</f>
        <v/>
      </c>
      <c r="M52" s="35" t="str">
        <f>IF(AND('Mapa de Riesgos'!$Z$26="Muy Baja",'Mapa de Riesgos'!$AB$26="Leve"),CONCATENATE("R7C",'Mapa de Riesgos'!$P$26),"")</f>
        <v/>
      </c>
      <c r="N52" s="35" t="str">
        <f>IF(AND('Mapa de Riesgos'!$Z$27="Muy Baja",'Mapa de Riesgos'!$AB$27="Leve"),CONCATENATE("R7C",'Mapa de Riesgos'!$P$27),"")</f>
        <v/>
      </c>
      <c r="O52" s="36" t="str">
        <f>IF(AND('Mapa de Riesgos'!$Z$28="Muy Baja",'Mapa de Riesgos'!$AB$28="Leve"),CONCATENATE("R7C",'Mapa de Riesgos'!$P$28),"")</f>
        <v/>
      </c>
      <c r="P52" s="34" t="str">
        <f>IF(AND('Mapa de Riesgos'!$Z$23="Muy Baja",'Mapa de Riesgos'!$AB$23="Menor"),CONCATENATE("R7C",'Mapa de Riesgos'!$P$23),"")</f>
        <v/>
      </c>
      <c r="Q52" s="35" t="str">
        <f>IF(AND('Mapa de Riesgos'!$Z$24="Muy Baja",'Mapa de Riesgos'!$AB$24="Menor"),CONCATENATE("R7C",'Mapa de Riesgos'!$P$24),"")</f>
        <v/>
      </c>
      <c r="R52" s="35" t="str">
        <f>IF(AND('Mapa de Riesgos'!$Z$25="Muy Baja",'Mapa de Riesgos'!$AB$25="Menor"),CONCATENATE("R7C",'Mapa de Riesgos'!$P$25),"")</f>
        <v/>
      </c>
      <c r="S52" s="35" t="str">
        <f>IF(AND('Mapa de Riesgos'!$Z$26="Muy Baja",'Mapa de Riesgos'!$AB$26="Menor"),CONCATENATE("R7C",'Mapa de Riesgos'!$P$26),"")</f>
        <v/>
      </c>
      <c r="T52" s="35" t="str">
        <f>IF(AND('Mapa de Riesgos'!$Z$27="Muy Baja",'Mapa de Riesgos'!$AB$27="Menor"),CONCATENATE("R7C",'Mapa de Riesgos'!$P$27),"")</f>
        <v/>
      </c>
      <c r="U52" s="36" t="str">
        <f>IF(AND('Mapa de Riesgos'!$Z$28="Muy Baja",'Mapa de Riesgos'!$AB$28="Menor"),CONCATENATE("R7C",'Mapa de Riesgos'!$P$28),"")</f>
        <v/>
      </c>
      <c r="V52" s="25" t="str">
        <f>IF(AND('Mapa de Riesgos'!$Z$23="Muy Baja",'Mapa de Riesgos'!$AB$23="Moderado"),CONCATENATE("R7C",'Mapa de Riesgos'!$P$23),"")</f>
        <v/>
      </c>
      <c r="W52" s="26" t="str">
        <f>IF(AND('Mapa de Riesgos'!$Z$24="Muy Baja",'Mapa de Riesgos'!$AB$24="Moderado"),CONCATENATE("R7C",'Mapa de Riesgos'!$P$24),"")</f>
        <v/>
      </c>
      <c r="X52" s="26" t="str">
        <f>IF(AND('Mapa de Riesgos'!$Z$25="Muy Baja",'Mapa de Riesgos'!$AB$25="Moderado"),CONCATENATE("R7C",'Mapa de Riesgos'!$P$25),"")</f>
        <v/>
      </c>
      <c r="Y52" s="26" t="str">
        <f>IF(AND('Mapa de Riesgos'!$Z$26="Muy Baja",'Mapa de Riesgos'!$AB$26="Moderado"),CONCATENATE("R7C",'Mapa de Riesgos'!$P$26),"")</f>
        <v/>
      </c>
      <c r="Z52" s="26" t="str">
        <f>IF(AND('Mapa de Riesgos'!$Z$27="Muy Baja",'Mapa de Riesgos'!$AB$27="Moderado"),CONCATENATE("R7C",'Mapa de Riesgos'!$P$27),"")</f>
        <v/>
      </c>
      <c r="AA52" s="27" t="str">
        <f>IF(AND('Mapa de Riesgos'!$Z$28="Muy Baja",'Mapa de Riesgos'!$AB$28="Moderado"),CONCATENATE("R7C",'Mapa de Riesgos'!$P$28),"")</f>
        <v/>
      </c>
      <c r="AB52" s="10" t="str">
        <f>IF(AND('Mapa de Riesgos'!$Z$23="Muy Baja",'Mapa de Riesgos'!$AB$23="Mayor"),CONCATENATE("R7C",'Mapa de Riesgos'!$P$23),"")</f>
        <v/>
      </c>
      <c r="AC52" s="11" t="str">
        <f>IF(AND('Mapa de Riesgos'!$Z$24="Muy Baja",'Mapa de Riesgos'!$AB$24="Mayor"),CONCATENATE("R7C",'Mapa de Riesgos'!$P$24),"")</f>
        <v/>
      </c>
      <c r="AD52" s="11" t="str">
        <f>IF(AND('Mapa de Riesgos'!$Z$25="Muy Baja",'Mapa de Riesgos'!$AB$25="Mayor"),CONCATENATE("R7C",'Mapa de Riesgos'!$P$25),"")</f>
        <v/>
      </c>
      <c r="AE52" s="11" t="str">
        <f>IF(AND('Mapa de Riesgos'!$Z$26="Muy Baja",'Mapa de Riesgos'!$AB$26="Mayor"),CONCATENATE("R7C",'Mapa de Riesgos'!$P$26),"")</f>
        <v/>
      </c>
      <c r="AF52" s="11" t="str">
        <f>IF(AND('Mapa de Riesgos'!$Z$27="Muy Baja",'Mapa de Riesgos'!$AB$27="Mayor"),CONCATENATE("R7C",'Mapa de Riesgos'!$P$27),"")</f>
        <v/>
      </c>
      <c r="AG52" s="12" t="str">
        <f>IF(AND('Mapa de Riesgos'!$Z$28="Muy Baja",'Mapa de Riesgos'!$AB$28="Mayor"),CONCATENATE("R7C",'Mapa de Riesgos'!$P$28),"")</f>
        <v/>
      </c>
      <c r="AH52" s="13" t="str">
        <f>IF(AND('Mapa de Riesgos'!$Z$23="Muy Baja",'Mapa de Riesgos'!$AB$23="Catastrófico"),CONCATENATE("R7C",'Mapa de Riesgos'!$P$23),"")</f>
        <v/>
      </c>
      <c r="AI52" s="14" t="str">
        <f>IF(AND('Mapa de Riesgos'!$Z$24="Muy Baja",'Mapa de Riesgos'!$AB$24="Catastrófico"),CONCATENATE("R7C",'Mapa de Riesgos'!$P$24),"")</f>
        <v/>
      </c>
      <c r="AJ52" s="14" t="str">
        <f>IF(AND('Mapa de Riesgos'!$Z$25="Muy Baja",'Mapa de Riesgos'!$AB$25="Catastrófico"),CONCATENATE("R7C",'Mapa de Riesgos'!$P$25),"")</f>
        <v/>
      </c>
      <c r="AK52" s="14" t="str">
        <f>IF(AND('Mapa de Riesgos'!$Z$26="Muy Baja",'Mapa de Riesgos'!$AB$26="Catastrófico"),CONCATENATE("R7C",'Mapa de Riesgos'!$P$26),"")</f>
        <v/>
      </c>
      <c r="AL52" s="14" t="str">
        <f>IF(AND('Mapa de Riesgos'!$Z$27="Muy Baja",'Mapa de Riesgos'!$AB$27="Catastrófico"),CONCATENATE("R7C",'Mapa de Riesgos'!$P$27),"")</f>
        <v/>
      </c>
      <c r="AM52" s="15" t="str">
        <f>IF(AND('Mapa de Riesgos'!$Z$28="Muy Baja",'Mapa de Riesgos'!$AB$28="Catastrófico"),CONCATENATE("R7C",'Mapa de Riesgos'!$P$28),"")</f>
        <v/>
      </c>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row>
    <row r="53" spans="1:80" ht="15" customHeight="1" x14ac:dyDescent="0.25">
      <c r="A53" s="41"/>
      <c r="B53" s="340"/>
      <c r="C53" s="340"/>
      <c r="D53" s="341"/>
      <c r="E53" s="439"/>
      <c r="F53" s="438"/>
      <c r="G53" s="438"/>
      <c r="H53" s="438"/>
      <c r="I53" s="454"/>
      <c r="J53" s="34" t="str">
        <f>IF(AND('Mapa de Riesgos'!$Z$17="Muy Baja",'Mapa de Riesgos'!$AB$17="Leve"),CONCATENATE("R8C",'Mapa de Riesgos'!$P$17),"")</f>
        <v>R8C1</v>
      </c>
      <c r="K53" s="35" t="str">
        <f>IF(AND('Mapa de Riesgos'!$Z$18="Muy Baja",'Mapa de Riesgos'!$AB$18="Leve"),CONCATENATE("R8C",'Mapa de Riesgos'!$P$18),"")</f>
        <v/>
      </c>
      <c r="L53" s="35" t="str">
        <f>IF(AND('Mapa de Riesgos'!$Z$19="Muy Baja",'Mapa de Riesgos'!$AB$19="Leve"),CONCATENATE("R8C",'Mapa de Riesgos'!$P$19),"")</f>
        <v/>
      </c>
      <c r="M53" s="35" t="str">
        <f>IF(AND('Mapa de Riesgos'!$Z$20="Muy Baja",'Mapa de Riesgos'!$AB$20="Leve"),CONCATENATE("R8C",'Mapa de Riesgos'!$P$20),"")</f>
        <v/>
      </c>
      <c r="N53" s="35" t="str">
        <f>IF(AND('Mapa de Riesgos'!$Z$21="Muy Baja",'Mapa de Riesgos'!$AB$21="Leve"),CONCATENATE("R8C",'Mapa de Riesgos'!$P$21),"")</f>
        <v/>
      </c>
      <c r="O53" s="36" t="str">
        <f>IF(AND('Mapa de Riesgos'!$Z$22="Muy Baja",'Mapa de Riesgos'!$AB$22="Leve"),CONCATENATE("R8C",'Mapa de Riesgos'!$P$22),"")</f>
        <v/>
      </c>
      <c r="P53" s="34" t="str">
        <f>IF(AND('Mapa de Riesgos'!$Z$17="Muy Baja",'Mapa de Riesgos'!$AB$17="Menor"),CONCATENATE("R8C",'Mapa de Riesgos'!$P$17),"")</f>
        <v/>
      </c>
      <c r="Q53" s="35" t="str">
        <f>IF(AND('Mapa de Riesgos'!$Z$18="Muy Baja",'Mapa de Riesgos'!$AB$18="Menor"),CONCATENATE("R8C",'Mapa de Riesgos'!$P$18),"")</f>
        <v/>
      </c>
      <c r="R53" s="35" t="str">
        <f>IF(AND('Mapa de Riesgos'!$Z$19="Muy Baja",'Mapa de Riesgos'!$AB$19="Menor"),CONCATENATE("R8C",'Mapa de Riesgos'!$P$19),"")</f>
        <v/>
      </c>
      <c r="S53" s="35" t="str">
        <f>IF(AND('Mapa de Riesgos'!$Z$20="Muy Baja",'Mapa de Riesgos'!$AB$20="Menor"),CONCATENATE("R8C",'Mapa de Riesgos'!$P$20),"")</f>
        <v/>
      </c>
      <c r="T53" s="35" t="str">
        <f>IF(AND('Mapa de Riesgos'!$Z$21="Muy Baja",'Mapa de Riesgos'!$AB$21="Menor"),CONCATENATE("R8C",'Mapa de Riesgos'!$P$21),"")</f>
        <v/>
      </c>
      <c r="U53" s="36" t="str">
        <f>IF(AND('Mapa de Riesgos'!$Z$22="Muy Baja",'Mapa de Riesgos'!$AB$22="Menor"),CONCATENATE("R8C",'Mapa de Riesgos'!$P$22),"")</f>
        <v/>
      </c>
      <c r="V53" s="25" t="str">
        <f>IF(AND('Mapa de Riesgos'!$Z$17="Muy Baja",'Mapa de Riesgos'!$AB$17="Moderado"),CONCATENATE("R8C",'Mapa de Riesgos'!$P$17),"")</f>
        <v/>
      </c>
      <c r="W53" s="26" t="str">
        <f>IF(AND('Mapa de Riesgos'!$Z$18="Muy Baja",'Mapa de Riesgos'!$AB$18="Moderado"),CONCATENATE("R8C",'Mapa de Riesgos'!$P$18),"")</f>
        <v/>
      </c>
      <c r="X53" s="26" t="str">
        <f>IF(AND('Mapa de Riesgos'!$Z$19="Muy Baja",'Mapa de Riesgos'!$AB$19="Moderado"),CONCATENATE("R8C",'Mapa de Riesgos'!$P$19),"")</f>
        <v/>
      </c>
      <c r="Y53" s="26" t="str">
        <f>IF(AND('Mapa de Riesgos'!$Z$20="Muy Baja",'Mapa de Riesgos'!$AB$20="Moderado"),CONCATENATE("R8C",'Mapa de Riesgos'!$P$20),"")</f>
        <v/>
      </c>
      <c r="Z53" s="26" t="str">
        <f>IF(AND('Mapa de Riesgos'!$Z$21="Muy Baja",'Mapa de Riesgos'!$AB$21="Moderado"),CONCATENATE("R8C",'Mapa de Riesgos'!$P$21),"")</f>
        <v/>
      </c>
      <c r="AA53" s="27" t="str">
        <f>IF(AND('Mapa de Riesgos'!$Z$22="Muy Baja",'Mapa de Riesgos'!$AB$22="Moderado"),CONCATENATE("R8C",'Mapa de Riesgos'!$P$22),"")</f>
        <v/>
      </c>
      <c r="AB53" s="10" t="str">
        <f>IF(AND('Mapa de Riesgos'!$Z$17="Muy Baja",'Mapa de Riesgos'!$AB$17="Mayor"),CONCATENATE("R8C",'Mapa de Riesgos'!$P$17),"")</f>
        <v/>
      </c>
      <c r="AC53" s="11" t="str">
        <f>IF(AND('Mapa de Riesgos'!$Z$18="Muy Baja",'Mapa de Riesgos'!$AB$18="Mayor"),CONCATENATE("R8C",'Mapa de Riesgos'!$P$18),"")</f>
        <v/>
      </c>
      <c r="AD53" s="11" t="str">
        <f>IF(AND('Mapa de Riesgos'!$Z$19="Muy Baja",'Mapa de Riesgos'!$AB$19="Mayor"),CONCATENATE("R8C",'Mapa de Riesgos'!$P$19),"")</f>
        <v/>
      </c>
      <c r="AE53" s="11" t="str">
        <f>IF(AND('Mapa de Riesgos'!$Z$20="Muy Baja",'Mapa de Riesgos'!$AB$20="Mayor"),CONCATENATE("R8C",'Mapa de Riesgos'!$P$20),"")</f>
        <v/>
      </c>
      <c r="AF53" s="11" t="str">
        <f>IF(AND('Mapa de Riesgos'!$Z$21="Muy Baja",'Mapa de Riesgos'!$AB$21="Mayor"),CONCATENATE("R8C",'Mapa de Riesgos'!$P$21),"")</f>
        <v/>
      </c>
      <c r="AG53" s="12" t="str">
        <f>IF(AND('Mapa de Riesgos'!$Z$22="Muy Baja",'Mapa de Riesgos'!$AB$22="Mayor"),CONCATENATE("R8C",'Mapa de Riesgos'!$P$22),"")</f>
        <v/>
      </c>
      <c r="AH53" s="13" t="str">
        <f>IF(AND('Mapa de Riesgos'!$Z$17="Muy Baja",'Mapa de Riesgos'!$AB$17="Catastrófico"),CONCATENATE("R8C",'Mapa de Riesgos'!$P$17),"")</f>
        <v/>
      </c>
      <c r="AI53" s="14" t="str">
        <f>IF(AND('Mapa de Riesgos'!$Z$18="Muy Baja",'Mapa de Riesgos'!$AB$18="Catastrófico"),CONCATENATE("R8C",'Mapa de Riesgos'!$P$18),"")</f>
        <v/>
      </c>
      <c r="AJ53" s="14" t="str">
        <f>IF(AND('Mapa de Riesgos'!$Z$19="Muy Baja",'Mapa de Riesgos'!$AB$19="Catastrófico"),CONCATENATE("R8C",'Mapa de Riesgos'!$P$19),"")</f>
        <v/>
      </c>
      <c r="AK53" s="14" t="str">
        <f>IF(AND('Mapa de Riesgos'!$Z$20="Muy Baja",'Mapa de Riesgos'!$AB$20="Catastrófico"),CONCATENATE("R8C",'Mapa de Riesgos'!$P$20),"")</f>
        <v/>
      </c>
      <c r="AL53" s="14" t="str">
        <f>IF(AND('Mapa de Riesgos'!$Z$21="Muy Baja",'Mapa de Riesgos'!$AB$21="Catastrófico"),CONCATENATE("R8C",'Mapa de Riesgos'!$P$21),"")</f>
        <v/>
      </c>
      <c r="AM53" s="15" t="str">
        <f>IF(AND('Mapa de Riesgos'!$Z$22="Muy Baja",'Mapa de Riesgos'!$AB$22="Catastrófico"),CONCATENATE("R8C",'Mapa de Riesgos'!$P$22),"")</f>
        <v/>
      </c>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row>
    <row r="54" spans="1:80" ht="15" customHeight="1" x14ac:dyDescent="0.25">
      <c r="A54" s="41"/>
      <c r="B54" s="340"/>
      <c r="C54" s="340"/>
      <c r="D54" s="341"/>
      <c r="E54" s="439"/>
      <c r="F54" s="438"/>
      <c r="G54" s="438"/>
      <c r="H54" s="438"/>
      <c r="I54" s="454"/>
      <c r="J54" s="34" t="str">
        <f>IF(AND('Mapa de Riesgos'!$Z$59="Muy Baja",'Mapa de Riesgos'!$AB$59="Leve"),CONCATENATE("R9C",'Mapa de Riesgos'!$P$59),"")</f>
        <v>R9C1</v>
      </c>
      <c r="K54" s="35" t="str">
        <f>IF(AND('Mapa de Riesgos'!$Z$60="Muy Baja",'Mapa de Riesgos'!$AB$60="Leve"),CONCATENATE("R9C",'Mapa de Riesgos'!$P$60),"")</f>
        <v/>
      </c>
      <c r="L54" s="35" t="str">
        <f>IF(AND('Mapa de Riesgos'!$Z$61="Muy Baja",'Mapa de Riesgos'!$AB$61="Leve"),CONCATENATE("R9C",'Mapa de Riesgos'!$P$61),"")</f>
        <v/>
      </c>
      <c r="M54" s="35" t="str">
        <f>IF(AND('Mapa de Riesgos'!$Z$62="Muy Baja",'Mapa de Riesgos'!$AB$62="Leve"),CONCATENATE("R9C",'Mapa de Riesgos'!$P$62),"")</f>
        <v/>
      </c>
      <c r="N54" s="35" t="str">
        <f>IF(AND('Mapa de Riesgos'!$Z$63="Muy Baja",'Mapa de Riesgos'!$AB$63="Leve"),CONCATENATE("R9C",'Mapa de Riesgos'!$P$63),"")</f>
        <v/>
      </c>
      <c r="O54" s="36" t="str">
        <f>IF(AND('Mapa de Riesgos'!$Z$64="Muy Baja",'Mapa de Riesgos'!$AB$64="Leve"),CONCATENATE("R9C",'Mapa de Riesgos'!$P$64),"")</f>
        <v/>
      </c>
      <c r="P54" s="34" t="str">
        <f>IF(AND('Mapa de Riesgos'!$Z$59="Muy Baja",'Mapa de Riesgos'!$AB$59="Menor"),CONCATENATE("R9C",'Mapa de Riesgos'!$P$59),"")</f>
        <v/>
      </c>
      <c r="Q54" s="35" t="str">
        <f>IF(AND('Mapa de Riesgos'!$Z$60="Muy Baja",'Mapa de Riesgos'!$AB$60="Menor"),CONCATENATE("R9C",'Mapa de Riesgos'!$P$60),"")</f>
        <v/>
      </c>
      <c r="R54" s="35" t="str">
        <f>IF(AND('Mapa de Riesgos'!$Z$61="Muy Baja",'Mapa de Riesgos'!$AB$61="Menor"),CONCATENATE("R9C",'Mapa de Riesgos'!$P$61),"")</f>
        <v/>
      </c>
      <c r="S54" s="35" t="str">
        <f>IF(AND('Mapa de Riesgos'!$Z$62="Muy Baja",'Mapa de Riesgos'!$AB$62="Menor"),CONCATENATE("R9C",'Mapa de Riesgos'!$P$62),"")</f>
        <v/>
      </c>
      <c r="T54" s="35" t="str">
        <f>IF(AND('Mapa de Riesgos'!$Z$63="Muy Baja",'Mapa de Riesgos'!$AB$63="Menor"),CONCATENATE("R9C",'Mapa de Riesgos'!$P$63),"")</f>
        <v/>
      </c>
      <c r="U54" s="36" t="str">
        <f>IF(AND('Mapa de Riesgos'!$Z$64="Muy Baja",'Mapa de Riesgos'!$AB$64="Menor"),CONCATENATE("R9C",'Mapa de Riesgos'!$P$64),"")</f>
        <v/>
      </c>
      <c r="V54" s="25" t="str">
        <f>IF(AND('Mapa de Riesgos'!$Z$59="Muy Baja",'Mapa de Riesgos'!$AB$59="Moderado"),CONCATENATE("R9C",'Mapa de Riesgos'!$P$59),"")</f>
        <v/>
      </c>
      <c r="W54" s="26" t="str">
        <f>IF(AND('Mapa de Riesgos'!$Z$60="Muy Baja",'Mapa de Riesgos'!$AB$60="Moderado"),CONCATENATE("R9C",'Mapa de Riesgos'!$P$60),"")</f>
        <v/>
      </c>
      <c r="X54" s="26" t="str">
        <f>IF(AND('Mapa de Riesgos'!$Z$61="Muy Baja",'Mapa de Riesgos'!$AB$61="Moderado"),CONCATENATE("R9C",'Mapa de Riesgos'!$P$61),"")</f>
        <v/>
      </c>
      <c r="Y54" s="26" t="str">
        <f>IF(AND('Mapa de Riesgos'!$Z$62="Muy Baja",'Mapa de Riesgos'!$AB$62="Moderado"),CONCATENATE("R9C",'Mapa de Riesgos'!$P$62),"")</f>
        <v/>
      </c>
      <c r="Z54" s="26" t="str">
        <f>IF(AND('Mapa de Riesgos'!$Z$63="Muy Baja",'Mapa de Riesgos'!$AB$63="Moderado"),CONCATENATE("R9C",'Mapa de Riesgos'!$P$63),"")</f>
        <v/>
      </c>
      <c r="AA54" s="27" t="str">
        <f>IF(AND('Mapa de Riesgos'!$Z$64="Muy Baja",'Mapa de Riesgos'!$AB$64="Moderado"),CONCATENATE("R9C",'Mapa de Riesgos'!$P$64),"")</f>
        <v/>
      </c>
      <c r="AB54" s="10" t="str">
        <f>IF(AND('Mapa de Riesgos'!$Z$59="Muy Baja",'Mapa de Riesgos'!$AB$59="Mayor"),CONCATENATE("R9C",'Mapa de Riesgos'!$P$59),"")</f>
        <v/>
      </c>
      <c r="AC54" s="11" t="str">
        <f>IF(AND('Mapa de Riesgos'!$Z$60="Muy Baja",'Mapa de Riesgos'!$AB$60="Mayor"),CONCATENATE("R9C",'Mapa de Riesgos'!$P$60),"")</f>
        <v/>
      </c>
      <c r="AD54" s="11" t="str">
        <f>IF(AND('Mapa de Riesgos'!$Z$61="Muy Baja",'Mapa de Riesgos'!$AB$61="Mayor"),CONCATENATE("R9C",'Mapa de Riesgos'!$P$61),"")</f>
        <v/>
      </c>
      <c r="AE54" s="11" t="str">
        <f>IF(AND('Mapa de Riesgos'!$Z$62="Muy Baja",'Mapa de Riesgos'!$AB$62="Mayor"),CONCATENATE("R9C",'Mapa de Riesgos'!$P$62),"")</f>
        <v/>
      </c>
      <c r="AF54" s="11" t="str">
        <f>IF(AND('Mapa de Riesgos'!$Z$63="Muy Baja",'Mapa de Riesgos'!$AB$63="Mayor"),CONCATENATE("R9C",'Mapa de Riesgos'!$P$63),"")</f>
        <v/>
      </c>
      <c r="AG54" s="12" t="str">
        <f>IF(AND('Mapa de Riesgos'!$Z$64="Muy Baja",'Mapa de Riesgos'!$AB$64="Mayor"),CONCATENATE("R9C",'Mapa de Riesgos'!$P$64),"")</f>
        <v/>
      </c>
      <c r="AH54" s="13" t="str">
        <f>IF(AND('Mapa de Riesgos'!$Z$59="Muy Baja",'Mapa de Riesgos'!$AB$59="Catastrófico"),CONCATENATE("R9C",'Mapa de Riesgos'!$P$59),"")</f>
        <v/>
      </c>
      <c r="AI54" s="14" t="str">
        <f>IF(AND('Mapa de Riesgos'!$Z$60="Muy Baja",'Mapa de Riesgos'!$AB$60="Catastrófico"),CONCATENATE("R9C",'Mapa de Riesgos'!$P$60),"")</f>
        <v/>
      </c>
      <c r="AJ54" s="14" t="str">
        <f>IF(AND('Mapa de Riesgos'!$Z$61="Muy Baja",'Mapa de Riesgos'!$AB$61="Catastrófico"),CONCATENATE("R9C",'Mapa de Riesgos'!$P$61),"")</f>
        <v/>
      </c>
      <c r="AK54" s="14" t="str">
        <f>IF(AND('Mapa de Riesgos'!$Z$62="Muy Baja",'Mapa de Riesgos'!$AB$62="Catastrófico"),CONCATENATE("R9C",'Mapa de Riesgos'!$P$62),"")</f>
        <v/>
      </c>
      <c r="AL54" s="14" t="str">
        <f>IF(AND('Mapa de Riesgos'!$Z$63="Muy Baja",'Mapa de Riesgos'!$AB$63="Catastrófico"),CONCATENATE("R9C",'Mapa de Riesgos'!$P$63),"")</f>
        <v/>
      </c>
      <c r="AM54" s="15" t="str">
        <f>IF(AND('Mapa de Riesgos'!$Z$64="Muy Baja",'Mapa de Riesgos'!$AB$64="Catastrófico"),CONCATENATE("R9C",'Mapa de Riesgos'!$P$64),"")</f>
        <v/>
      </c>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row>
    <row r="55" spans="1:80" ht="15.75" customHeight="1" thickBot="1" x14ac:dyDescent="0.3">
      <c r="A55" s="41"/>
      <c r="B55" s="340"/>
      <c r="C55" s="340"/>
      <c r="D55" s="341"/>
      <c r="E55" s="440"/>
      <c r="F55" s="441"/>
      <c r="G55" s="441"/>
      <c r="H55" s="441"/>
      <c r="I55" s="455"/>
      <c r="J55" s="37" t="str">
        <f>IF(AND('Mapa de Riesgos'!$Z$65="Muy Baja",'Mapa de Riesgos'!$AB$65="Leve"),CONCATENATE("R10C",'Mapa de Riesgos'!$P$65),"")</f>
        <v/>
      </c>
      <c r="K55" s="38" t="str">
        <f>IF(AND('Mapa de Riesgos'!$Z$66="Muy Baja",'Mapa de Riesgos'!$AB$66="Leve"),CONCATENATE("R10C",'Mapa de Riesgos'!$P$66),"")</f>
        <v/>
      </c>
      <c r="L55" s="38" t="str">
        <f>IF(AND('Mapa de Riesgos'!$Z$67="Muy Baja",'Mapa de Riesgos'!$AB$67="Leve"),CONCATENATE("R10C",'Mapa de Riesgos'!$P$67),"")</f>
        <v/>
      </c>
      <c r="M55" s="38" t="str">
        <f>IF(AND('Mapa de Riesgos'!$Z$68="Muy Baja",'Mapa de Riesgos'!$AB$68="Leve"),CONCATENATE("R10C",'Mapa de Riesgos'!$P$68),"")</f>
        <v/>
      </c>
      <c r="N55" s="38" t="str">
        <f>IF(AND('Mapa de Riesgos'!$Z$69="Muy Baja",'Mapa de Riesgos'!$AB$69="Leve"),CONCATENATE("R10C",'Mapa de Riesgos'!$P$69),"")</f>
        <v/>
      </c>
      <c r="O55" s="39" t="str">
        <f>IF(AND('Mapa de Riesgos'!$Z$70="Muy Baja",'Mapa de Riesgos'!$AB$70="Leve"),CONCATENATE("R10C",'Mapa de Riesgos'!$P$70),"")</f>
        <v/>
      </c>
      <c r="P55" s="37" t="str">
        <f>IF(AND('Mapa de Riesgos'!$Z$65="Muy Baja",'Mapa de Riesgos'!$AB$65="Menor"),CONCATENATE("R10C",'Mapa de Riesgos'!$P$65),"")</f>
        <v/>
      </c>
      <c r="Q55" s="38" t="str">
        <f>IF(AND('Mapa de Riesgos'!$Z$66="Muy Baja",'Mapa de Riesgos'!$AB$66="Menor"),CONCATENATE("R10C",'Mapa de Riesgos'!$P$66),"")</f>
        <v/>
      </c>
      <c r="R55" s="38" t="str">
        <f>IF(AND('Mapa de Riesgos'!$Z$67="Muy Baja",'Mapa de Riesgos'!$AB$67="Menor"),CONCATENATE("R10C",'Mapa de Riesgos'!$P$67),"")</f>
        <v/>
      </c>
      <c r="S55" s="38" t="str">
        <f>IF(AND('Mapa de Riesgos'!$Z$68="Muy Baja",'Mapa de Riesgos'!$AB$68="Menor"),CONCATENATE("R10C",'Mapa de Riesgos'!$P$68),"")</f>
        <v/>
      </c>
      <c r="T55" s="38" t="str">
        <f>IF(AND('Mapa de Riesgos'!$Z$69="Muy Baja",'Mapa de Riesgos'!$AB$69="Menor"),CONCATENATE("R10C",'Mapa de Riesgos'!$P$69),"")</f>
        <v/>
      </c>
      <c r="U55" s="39" t="str">
        <f>IF(AND('Mapa de Riesgos'!$Z$70="Muy Baja",'Mapa de Riesgos'!$AB$70="Menor"),CONCATENATE("R10C",'Mapa de Riesgos'!$P$70),"")</f>
        <v/>
      </c>
      <c r="V55" s="28" t="str">
        <f>IF(AND('Mapa de Riesgos'!$Z$65="Muy Baja",'Mapa de Riesgos'!$AB$65="Moderado"),CONCATENATE("R10C",'Mapa de Riesgos'!$P$65),"")</f>
        <v/>
      </c>
      <c r="W55" s="29" t="str">
        <f>IF(AND('Mapa de Riesgos'!$Z$66="Muy Baja",'Mapa de Riesgos'!$AB$66="Moderado"),CONCATENATE("R10C",'Mapa de Riesgos'!$P$66),"")</f>
        <v/>
      </c>
      <c r="X55" s="29" t="str">
        <f>IF(AND('Mapa de Riesgos'!$Z$67="Muy Baja",'Mapa de Riesgos'!$AB$67="Moderado"),CONCATENATE("R10C",'Mapa de Riesgos'!$P$67),"")</f>
        <v/>
      </c>
      <c r="Y55" s="29" t="str">
        <f>IF(AND('Mapa de Riesgos'!$Z$68="Muy Baja",'Mapa de Riesgos'!$AB$68="Moderado"),CONCATENATE("R10C",'Mapa de Riesgos'!$P$68),"")</f>
        <v/>
      </c>
      <c r="Z55" s="29" t="str">
        <f>IF(AND('Mapa de Riesgos'!$Z$69="Muy Baja",'Mapa de Riesgos'!$AB$69="Moderado"),CONCATENATE("R10C",'Mapa de Riesgos'!$P$69),"")</f>
        <v/>
      </c>
      <c r="AA55" s="30" t="str">
        <f>IF(AND('Mapa de Riesgos'!$Z$70="Muy Baja",'Mapa de Riesgos'!$AB$70="Moderado"),CONCATENATE("R10C",'Mapa de Riesgos'!$P$70),"")</f>
        <v/>
      </c>
      <c r="AB55" s="16" t="str">
        <f>IF(AND('Mapa de Riesgos'!$Z$65="Muy Baja",'Mapa de Riesgos'!$AB$65="Mayor"),CONCATENATE("R10C",'Mapa de Riesgos'!$P$65),"")</f>
        <v/>
      </c>
      <c r="AC55" s="17" t="str">
        <f>IF(AND('Mapa de Riesgos'!$Z$66="Muy Baja",'Mapa de Riesgos'!$AB$66="Mayor"),CONCATENATE("R10C",'Mapa de Riesgos'!$P$66),"")</f>
        <v/>
      </c>
      <c r="AD55" s="17" t="str">
        <f>IF(AND('Mapa de Riesgos'!$Z$67="Muy Baja",'Mapa de Riesgos'!$AB$67="Mayor"),CONCATENATE("R10C",'Mapa de Riesgos'!$P$67),"")</f>
        <v/>
      </c>
      <c r="AE55" s="17" t="str">
        <f>IF(AND('Mapa de Riesgos'!$Z$68="Muy Baja",'Mapa de Riesgos'!$AB$68="Mayor"),CONCATENATE("R10C",'Mapa de Riesgos'!$P$68),"")</f>
        <v/>
      </c>
      <c r="AF55" s="17" t="str">
        <f>IF(AND('Mapa de Riesgos'!$Z$69="Muy Baja",'Mapa de Riesgos'!$AB$69="Mayor"),CONCATENATE("R10C",'Mapa de Riesgos'!$P$69),"")</f>
        <v/>
      </c>
      <c r="AG55" s="18" t="str">
        <f>IF(AND('Mapa de Riesgos'!$Z$70="Muy Baja",'Mapa de Riesgos'!$AB$70="Mayor"),CONCATENATE("R10C",'Mapa de Riesgos'!$P$70),"")</f>
        <v/>
      </c>
      <c r="AH55" s="19" t="str">
        <f>IF(AND('Mapa de Riesgos'!$Z$65="Muy Baja",'Mapa de Riesgos'!$AB$65="Catastrófico"),CONCATENATE("R10C",'Mapa de Riesgos'!$P$65),"")</f>
        <v/>
      </c>
      <c r="AI55" s="20" t="str">
        <f>IF(AND('Mapa de Riesgos'!$Z$66="Muy Baja",'Mapa de Riesgos'!$AB$66="Catastrófico"),CONCATENATE("R10C",'Mapa de Riesgos'!$P$66),"")</f>
        <v/>
      </c>
      <c r="AJ55" s="20" t="str">
        <f>IF(AND('Mapa de Riesgos'!$Z$67="Muy Baja",'Mapa de Riesgos'!$AB$67="Catastrófico"),CONCATENATE("R10C",'Mapa de Riesgos'!$P$67),"")</f>
        <v/>
      </c>
      <c r="AK55" s="20" t="str">
        <f>IF(AND('Mapa de Riesgos'!$Z$68="Muy Baja",'Mapa de Riesgos'!$AB$68="Catastrófico"),CONCATENATE("R10C",'Mapa de Riesgos'!$P$68),"")</f>
        <v/>
      </c>
      <c r="AL55" s="20" t="str">
        <f>IF(AND('Mapa de Riesgos'!$Z$69="Muy Baja",'Mapa de Riesgos'!$AB$69="Catastrófico"),CONCATENATE("R10C",'Mapa de Riesgos'!$P$69),"")</f>
        <v/>
      </c>
      <c r="AM55" s="21" t="str">
        <f>IF(AND('Mapa de Riesgos'!$Z$70="Muy Baja",'Mapa de Riesgos'!$AB$70="Catastrófico"),CONCATENATE("R10C",'Mapa de Riesgos'!$P$70),"")</f>
        <v/>
      </c>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row>
    <row r="56" spans="1:80" x14ac:dyDescent="0.25">
      <c r="A56" s="41"/>
      <c r="B56" s="41"/>
      <c r="C56" s="41"/>
      <c r="D56" s="41"/>
      <c r="E56" s="41"/>
      <c r="F56" s="41"/>
      <c r="G56" s="41"/>
      <c r="H56" s="41"/>
      <c r="I56" s="41"/>
      <c r="J56" s="435" t="s">
        <v>120</v>
      </c>
      <c r="K56" s="436"/>
      <c r="L56" s="436"/>
      <c r="M56" s="436"/>
      <c r="N56" s="436"/>
      <c r="O56" s="453"/>
      <c r="P56" s="435" t="s">
        <v>121</v>
      </c>
      <c r="Q56" s="436"/>
      <c r="R56" s="436"/>
      <c r="S56" s="436"/>
      <c r="T56" s="436"/>
      <c r="U56" s="453"/>
      <c r="V56" s="435" t="s">
        <v>122</v>
      </c>
      <c r="W56" s="436"/>
      <c r="X56" s="436"/>
      <c r="Y56" s="436"/>
      <c r="Z56" s="436"/>
      <c r="AA56" s="453"/>
      <c r="AB56" s="435" t="s">
        <v>123</v>
      </c>
      <c r="AC56" s="474"/>
      <c r="AD56" s="436"/>
      <c r="AE56" s="436"/>
      <c r="AF56" s="436"/>
      <c r="AG56" s="453"/>
      <c r="AH56" s="435" t="s">
        <v>124</v>
      </c>
      <c r="AI56" s="436"/>
      <c r="AJ56" s="436"/>
      <c r="AK56" s="436"/>
      <c r="AL56" s="436"/>
      <c r="AM56" s="453"/>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row>
    <row r="57" spans="1:80" x14ac:dyDescent="0.25">
      <c r="A57" s="41"/>
      <c r="B57" s="41"/>
      <c r="C57" s="41"/>
      <c r="D57" s="41"/>
      <c r="E57" s="41"/>
      <c r="F57" s="41"/>
      <c r="G57" s="41"/>
      <c r="H57" s="41"/>
      <c r="I57" s="41"/>
      <c r="J57" s="439"/>
      <c r="K57" s="438"/>
      <c r="L57" s="438"/>
      <c r="M57" s="438"/>
      <c r="N57" s="438"/>
      <c r="O57" s="454"/>
      <c r="P57" s="439"/>
      <c r="Q57" s="438"/>
      <c r="R57" s="438"/>
      <c r="S57" s="438"/>
      <c r="T57" s="438"/>
      <c r="U57" s="454"/>
      <c r="V57" s="439"/>
      <c r="W57" s="438"/>
      <c r="X57" s="438"/>
      <c r="Y57" s="438"/>
      <c r="Z57" s="438"/>
      <c r="AA57" s="454"/>
      <c r="AB57" s="439"/>
      <c r="AC57" s="438"/>
      <c r="AD57" s="438"/>
      <c r="AE57" s="438"/>
      <c r="AF57" s="438"/>
      <c r="AG57" s="454"/>
      <c r="AH57" s="439"/>
      <c r="AI57" s="438"/>
      <c r="AJ57" s="438"/>
      <c r="AK57" s="438"/>
      <c r="AL57" s="438"/>
      <c r="AM57" s="454"/>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x14ac:dyDescent="0.25">
      <c r="A58" s="41"/>
      <c r="B58" s="41"/>
      <c r="C58" s="41"/>
      <c r="D58" s="41"/>
      <c r="E58" s="41"/>
      <c r="F58" s="41"/>
      <c r="G58" s="41"/>
      <c r="H58" s="41"/>
      <c r="I58" s="41"/>
      <c r="J58" s="439"/>
      <c r="K58" s="438"/>
      <c r="L58" s="438"/>
      <c r="M58" s="438"/>
      <c r="N58" s="438"/>
      <c r="O58" s="454"/>
      <c r="P58" s="439"/>
      <c r="Q58" s="438"/>
      <c r="R58" s="438"/>
      <c r="S58" s="438"/>
      <c r="T58" s="438"/>
      <c r="U58" s="454"/>
      <c r="V58" s="439"/>
      <c r="W58" s="438"/>
      <c r="X58" s="438"/>
      <c r="Y58" s="438"/>
      <c r="Z58" s="438"/>
      <c r="AA58" s="454"/>
      <c r="AB58" s="439"/>
      <c r="AC58" s="438"/>
      <c r="AD58" s="438"/>
      <c r="AE58" s="438"/>
      <c r="AF58" s="438"/>
      <c r="AG58" s="454"/>
      <c r="AH58" s="439"/>
      <c r="AI58" s="438"/>
      <c r="AJ58" s="438"/>
      <c r="AK58" s="438"/>
      <c r="AL58" s="438"/>
      <c r="AM58" s="454"/>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row>
    <row r="59" spans="1:80" x14ac:dyDescent="0.25">
      <c r="A59" s="41"/>
      <c r="B59" s="41"/>
      <c r="C59" s="41"/>
      <c r="D59" s="41"/>
      <c r="E59" s="41"/>
      <c r="F59" s="41"/>
      <c r="G59" s="41"/>
      <c r="H59" s="41"/>
      <c r="I59" s="41"/>
      <c r="J59" s="439"/>
      <c r="K59" s="438"/>
      <c r="L59" s="438"/>
      <c r="M59" s="438"/>
      <c r="N59" s="438"/>
      <c r="O59" s="454"/>
      <c r="P59" s="439"/>
      <c r="Q59" s="438"/>
      <c r="R59" s="438"/>
      <c r="S59" s="438"/>
      <c r="T59" s="438"/>
      <c r="U59" s="454"/>
      <c r="V59" s="439"/>
      <c r="W59" s="438"/>
      <c r="X59" s="438"/>
      <c r="Y59" s="438"/>
      <c r="Z59" s="438"/>
      <c r="AA59" s="454"/>
      <c r="AB59" s="439"/>
      <c r="AC59" s="438"/>
      <c r="AD59" s="438"/>
      <c r="AE59" s="438"/>
      <c r="AF59" s="438"/>
      <c r="AG59" s="454"/>
      <c r="AH59" s="439"/>
      <c r="AI59" s="438"/>
      <c r="AJ59" s="438"/>
      <c r="AK59" s="438"/>
      <c r="AL59" s="438"/>
      <c r="AM59" s="454"/>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x14ac:dyDescent="0.25">
      <c r="A60" s="41"/>
      <c r="B60" s="41"/>
      <c r="C60" s="41"/>
      <c r="D60" s="41"/>
      <c r="E60" s="41"/>
      <c r="F60" s="41"/>
      <c r="G60" s="41"/>
      <c r="H60" s="41"/>
      <c r="I60" s="41"/>
      <c r="J60" s="439"/>
      <c r="K60" s="438"/>
      <c r="L60" s="438"/>
      <c r="M60" s="438"/>
      <c r="N60" s="438"/>
      <c r="O60" s="454"/>
      <c r="P60" s="439"/>
      <c r="Q60" s="438"/>
      <c r="R60" s="438"/>
      <c r="S60" s="438"/>
      <c r="T60" s="438"/>
      <c r="U60" s="454"/>
      <c r="V60" s="439"/>
      <c r="W60" s="438"/>
      <c r="X60" s="438"/>
      <c r="Y60" s="438"/>
      <c r="Z60" s="438"/>
      <c r="AA60" s="454"/>
      <c r="AB60" s="439"/>
      <c r="AC60" s="438"/>
      <c r="AD60" s="438"/>
      <c r="AE60" s="438"/>
      <c r="AF60" s="438"/>
      <c r="AG60" s="454"/>
      <c r="AH60" s="439"/>
      <c r="AI60" s="438"/>
      <c r="AJ60" s="438"/>
      <c r="AK60" s="438"/>
      <c r="AL60" s="438"/>
      <c r="AM60" s="454"/>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row>
    <row r="61" spans="1:80" ht="15.75" thickBot="1" x14ac:dyDescent="0.3">
      <c r="A61" s="41"/>
      <c r="B61" s="41"/>
      <c r="C61" s="41"/>
      <c r="D61" s="41"/>
      <c r="E61" s="41"/>
      <c r="F61" s="41"/>
      <c r="G61" s="41"/>
      <c r="H61" s="41"/>
      <c r="I61" s="41"/>
      <c r="J61" s="440"/>
      <c r="K61" s="441"/>
      <c r="L61" s="441"/>
      <c r="M61" s="441"/>
      <c r="N61" s="441"/>
      <c r="O61" s="455"/>
      <c r="P61" s="440"/>
      <c r="Q61" s="441"/>
      <c r="R61" s="441"/>
      <c r="S61" s="441"/>
      <c r="T61" s="441"/>
      <c r="U61" s="455"/>
      <c r="V61" s="440"/>
      <c r="W61" s="441"/>
      <c r="X61" s="441"/>
      <c r="Y61" s="441"/>
      <c r="Z61" s="441"/>
      <c r="AA61" s="455"/>
      <c r="AB61" s="440"/>
      <c r="AC61" s="441"/>
      <c r="AD61" s="441"/>
      <c r="AE61" s="441"/>
      <c r="AF61" s="441"/>
      <c r="AG61" s="455"/>
      <c r="AH61" s="440"/>
      <c r="AI61" s="441"/>
      <c r="AJ61" s="441"/>
      <c r="AK61" s="441"/>
      <c r="AL61" s="441"/>
      <c r="AM61" s="455"/>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row>
    <row r="63" spans="1:80" ht="15" customHeight="1" x14ac:dyDescent="0.25">
      <c r="A63" s="4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1"/>
      <c r="AV63" s="41"/>
      <c r="AW63" s="41"/>
      <c r="AX63" s="41"/>
      <c r="AY63" s="41"/>
      <c r="AZ63" s="41"/>
      <c r="BA63" s="41"/>
      <c r="BB63" s="41"/>
      <c r="BC63" s="41"/>
      <c r="BD63" s="41"/>
      <c r="BE63" s="41"/>
      <c r="BF63" s="41"/>
      <c r="BG63" s="41"/>
      <c r="BH63" s="41"/>
    </row>
    <row r="64" spans="1:80" ht="15" customHeight="1" x14ac:dyDescent="0.25">
      <c r="A64" s="4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1"/>
      <c r="AV64" s="41"/>
      <c r="AW64" s="41"/>
      <c r="AX64" s="41"/>
      <c r="AY64" s="41"/>
      <c r="AZ64" s="41"/>
      <c r="BA64" s="41"/>
      <c r="BB64" s="41"/>
      <c r="BC64" s="41"/>
      <c r="BD64" s="41"/>
      <c r="BE64" s="41"/>
      <c r="BF64" s="41"/>
      <c r="BG64" s="41"/>
      <c r="BH64" s="41"/>
    </row>
    <row r="65" spans="1:60"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60"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row>
    <row r="67" spans="1:60"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60"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60"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row>
    <row r="70" spans="1:60"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row>
    <row r="71" spans="1:60"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row>
    <row r="72" spans="1:60"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row>
    <row r="73" spans="1:60"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row>
    <row r="74" spans="1:60"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row>
    <row r="75" spans="1:60"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row>
    <row r="76" spans="1:60"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row>
    <row r="77" spans="1:60"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row>
    <row r="78" spans="1:60"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row>
    <row r="79" spans="1:60"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row>
    <row r="80" spans="1:60"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row>
    <row r="81" spans="1:60"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row>
    <row r="82" spans="1:60"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row>
    <row r="83" spans="1:60"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row>
    <row r="84" spans="1:60"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row>
    <row r="85" spans="1:60"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row>
    <row r="86" spans="1:60"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row>
    <row r="87" spans="1:60"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row>
    <row r="88" spans="1:60"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row>
    <row r="89" spans="1:60"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row>
    <row r="90" spans="1:60"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row>
    <row r="91" spans="1:60"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row>
    <row r="92" spans="1:60"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row>
    <row r="93" spans="1:60"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row>
    <row r="94" spans="1:60"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row>
    <row r="95" spans="1:60"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row>
    <row r="96" spans="1:60"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row>
    <row r="97" spans="1:60"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row>
    <row r="98" spans="1:60"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row>
    <row r="99" spans="1:60"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row>
    <row r="100" spans="1:60"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row>
    <row r="101" spans="1:60"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row>
    <row r="102" spans="1:60"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row>
    <row r="103" spans="1:60"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row>
    <row r="104" spans="1:60"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row>
    <row r="105" spans="1:60"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row>
    <row r="106" spans="1:60"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row>
    <row r="107" spans="1:60"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row>
    <row r="108" spans="1:60"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row>
    <row r="109" spans="1:60"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row>
    <row r="110" spans="1:60"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row>
    <row r="111" spans="1:60"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row>
    <row r="112" spans="1:6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row>
    <row r="113" spans="1:60"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row>
    <row r="114" spans="1:60"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row>
    <row r="115" spans="1:6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row>
    <row r="116" spans="1:6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row>
    <row r="117" spans="1:6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row>
    <row r="118" spans="1:6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row>
    <row r="119" spans="1:6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row>
    <row r="120" spans="1:6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row>
    <row r="121" spans="1:60"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row>
    <row r="122" spans="1:60"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row>
    <row r="123" spans="1:6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row>
    <row r="124" spans="1:6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row>
    <row r="125" spans="1:6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row>
    <row r="126" spans="1:6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row>
    <row r="127" spans="1:6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row>
    <row r="128" spans="1:6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row>
    <row r="129" spans="1:6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row>
    <row r="130" spans="1:6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row>
    <row r="131" spans="1:6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row>
    <row r="132" spans="1:6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row>
    <row r="133" spans="1:6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row>
    <row r="134" spans="1:6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row>
    <row r="135" spans="1:6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row>
    <row r="136" spans="1:6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row>
    <row r="137" spans="1:6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row>
    <row r="138" spans="1:6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row>
    <row r="139" spans="1:6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row>
    <row r="140" spans="1:6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row>
    <row r="141" spans="1:6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row>
    <row r="142" spans="1:6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row>
    <row r="143" spans="1:6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row>
    <row r="144" spans="1:6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row>
    <row r="145" spans="1:60"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row>
    <row r="146" spans="1:60"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row>
    <row r="147" spans="1:60"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row>
    <row r="148" spans="1:60"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row>
    <row r="149" spans="1:60"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row>
    <row r="150" spans="1:60"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row>
    <row r="151" spans="1:60"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row>
    <row r="152" spans="1:60"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row>
    <row r="153" spans="1:60"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row>
    <row r="154" spans="1:60"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row>
    <row r="155" spans="1:60"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row>
    <row r="156" spans="1:60"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row>
    <row r="157" spans="1:60"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row>
    <row r="158" spans="1:60"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row>
    <row r="159" spans="1:60"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row>
    <row r="160" spans="1:60"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row>
    <row r="161" spans="1:60"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row>
    <row r="162" spans="1:60"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row>
    <row r="163" spans="1:60"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row>
    <row r="164" spans="1:60"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row>
    <row r="165" spans="1:60"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row>
    <row r="166" spans="1:60"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row>
    <row r="167" spans="1:60"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row>
    <row r="168" spans="1:60"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row>
    <row r="169" spans="1:60"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row>
    <row r="170" spans="1:60"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row>
    <row r="171" spans="1:60"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row>
    <row r="172" spans="1:60"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row>
    <row r="173" spans="1:60"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row>
    <row r="174" spans="1:60"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row>
    <row r="175" spans="1:60"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row>
    <row r="176" spans="1:60"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row>
    <row r="177" spans="1:60"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row>
    <row r="178" spans="1:60"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row>
    <row r="179" spans="1:60"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row>
    <row r="180" spans="1:60"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row>
    <row r="181" spans="1:60"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row>
    <row r="182" spans="1:60"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row>
    <row r="183" spans="1:60"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row>
    <row r="184" spans="1:60"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row>
    <row r="185" spans="1:60"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row>
    <row r="186" spans="1:60"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row>
    <row r="187" spans="1:60"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row>
    <row r="188" spans="1:60"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row>
    <row r="189" spans="1:60"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row>
    <row r="190" spans="1:60"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row>
    <row r="191" spans="1:60" x14ac:dyDescent="0.25">
      <c r="A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row>
    <row r="192" spans="1:60" x14ac:dyDescent="0.25">
      <c r="A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row>
    <row r="193" spans="1:60" x14ac:dyDescent="0.25">
      <c r="A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row>
    <row r="194" spans="1:60" x14ac:dyDescent="0.25">
      <c r="A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row>
    <row r="195" spans="1:60" x14ac:dyDescent="0.25">
      <c r="A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row>
    <row r="196" spans="1:60" x14ac:dyDescent="0.25">
      <c r="A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row>
    <row r="197" spans="1:60" x14ac:dyDescent="0.25">
      <c r="A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row>
    <row r="198" spans="1:60" x14ac:dyDescent="0.25">
      <c r="A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row>
    <row r="199" spans="1:60" x14ac:dyDescent="0.25">
      <c r="A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row>
    <row r="200" spans="1:60" x14ac:dyDescent="0.25">
      <c r="A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row>
    <row r="201" spans="1:60" x14ac:dyDescent="0.25">
      <c r="A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row>
    <row r="202" spans="1:60" x14ac:dyDescent="0.25">
      <c r="A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row>
    <row r="203" spans="1:60" x14ac:dyDescent="0.25">
      <c r="A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row>
    <row r="204" spans="1:60" x14ac:dyDescent="0.25">
      <c r="A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row>
    <row r="205" spans="1:60" x14ac:dyDescent="0.25">
      <c r="A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row>
    <row r="206" spans="1:60" x14ac:dyDescent="0.25">
      <c r="A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row>
    <row r="207" spans="1:60" x14ac:dyDescent="0.25">
      <c r="A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row>
    <row r="208" spans="1:60" x14ac:dyDescent="0.25">
      <c r="A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row>
    <row r="209" spans="1:60" x14ac:dyDescent="0.25">
      <c r="A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row>
    <row r="210" spans="1:60" x14ac:dyDescent="0.25">
      <c r="A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row>
    <row r="211" spans="1:60" x14ac:dyDescent="0.25">
      <c r="A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row>
    <row r="212" spans="1:60" x14ac:dyDescent="0.25">
      <c r="A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row>
    <row r="213" spans="1:60" x14ac:dyDescent="0.25">
      <c r="A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row>
    <row r="214" spans="1:60" x14ac:dyDescent="0.25">
      <c r="A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row>
    <row r="215" spans="1:60" x14ac:dyDescent="0.25">
      <c r="A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row>
    <row r="216" spans="1:60" x14ac:dyDescent="0.25">
      <c r="A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row>
    <row r="217" spans="1:60" x14ac:dyDescent="0.25">
      <c r="A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row>
    <row r="218" spans="1:60" x14ac:dyDescent="0.25">
      <c r="A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row>
    <row r="219" spans="1:60" x14ac:dyDescent="0.25">
      <c r="A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row>
    <row r="220" spans="1:60" x14ac:dyDescent="0.25">
      <c r="A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row>
    <row r="221" spans="1:60" x14ac:dyDescent="0.25">
      <c r="A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row>
    <row r="222" spans="1:60" x14ac:dyDescent="0.25">
      <c r="A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row>
    <row r="223" spans="1:60" x14ac:dyDescent="0.25">
      <c r="A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row>
    <row r="224" spans="1:60" x14ac:dyDescent="0.25">
      <c r="A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row>
    <row r="225" spans="1:60" x14ac:dyDescent="0.25">
      <c r="A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row>
    <row r="226" spans="1:60" x14ac:dyDescent="0.25">
      <c r="A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row>
    <row r="227" spans="1:60" x14ac:dyDescent="0.25">
      <c r="A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row>
    <row r="228" spans="1:60" x14ac:dyDescent="0.25">
      <c r="A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row>
    <row r="229" spans="1:60" x14ac:dyDescent="0.25">
      <c r="A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row>
    <row r="230" spans="1:60" x14ac:dyDescent="0.25">
      <c r="A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row>
    <row r="231" spans="1:60" x14ac:dyDescent="0.25">
      <c r="A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row>
    <row r="232" spans="1:60" x14ac:dyDescent="0.25">
      <c r="A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row>
    <row r="233" spans="1:60" x14ac:dyDescent="0.25">
      <c r="A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row>
    <row r="234" spans="1:60" x14ac:dyDescent="0.25">
      <c r="A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row>
    <row r="235" spans="1:60" x14ac:dyDescent="0.25">
      <c r="A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row>
    <row r="236" spans="1:60" x14ac:dyDescent="0.25">
      <c r="A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row>
    <row r="237" spans="1:60" x14ac:dyDescent="0.25">
      <c r="A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row>
    <row r="238" spans="1:60" x14ac:dyDescent="0.25">
      <c r="A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row>
    <row r="239" spans="1:60" x14ac:dyDescent="0.25">
      <c r="A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row>
    <row r="240" spans="1:60" x14ac:dyDescent="0.25">
      <c r="A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row>
    <row r="241" spans="1:60" x14ac:dyDescent="0.25">
      <c r="A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row>
    <row r="242" spans="1:60" x14ac:dyDescent="0.25">
      <c r="A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row>
    <row r="243" spans="1:60" x14ac:dyDescent="0.25">
      <c r="A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row>
    <row r="244" spans="1:60" x14ac:dyDescent="0.25">
      <c r="A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row>
    <row r="245" spans="1:60" x14ac:dyDescent="0.25">
      <c r="A245" s="41"/>
    </row>
    <row r="246" spans="1:60" x14ac:dyDescent="0.25">
      <c r="A246" s="41"/>
    </row>
    <row r="247" spans="1:60" x14ac:dyDescent="0.25">
      <c r="A247" s="41"/>
    </row>
    <row r="248" spans="1:60" x14ac:dyDescent="0.25">
      <c r="A248" s="4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9"/>
  <sheetViews>
    <sheetView zoomScale="80" zoomScaleNormal="80" workbookViewId="0">
      <selection activeCell="D1" sqref="D1:D4"/>
    </sheetView>
  </sheetViews>
  <sheetFormatPr baseColWidth="10" defaultColWidth="11.5703125" defaultRowHeight="14.25" x14ac:dyDescent="0.2"/>
  <cols>
    <col min="1" max="1" width="11.5703125" style="73"/>
    <col min="2" max="2" width="24.140625" style="73" customWidth="1"/>
    <col min="3" max="3" width="70.140625" style="73" customWidth="1"/>
    <col min="4" max="4" width="42.42578125" style="73" customWidth="1"/>
    <col min="5" max="16384" width="11.5703125" style="73"/>
  </cols>
  <sheetData>
    <row r="1" spans="1:37" ht="15" x14ac:dyDescent="0.2">
      <c r="B1" s="476"/>
      <c r="C1" s="479" t="s">
        <v>0</v>
      </c>
      <c r="D1" s="63"/>
    </row>
    <row r="2" spans="1:37" ht="15" x14ac:dyDescent="0.2">
      <c r="B2" s="477"/>
      <c r="C2" s="480"/>
      <c r="D2" s="63"/>
    </row>
    <row r="3" spans="1:37" ht="15" x14ac:dyDescent="0.2">
      <c r="B3" s="477"/>
      <c r="C3" s="480"/>
      <c r="D3" s="63"/>
    </row>
    <row r="4" spans="1:37" ht="15" x14ac:dyDescent="0.2">
      <c r="B4" s="478"/>
      <c r="C4" s="481"/>
      <c r="D4" s="63"/>
    </row>
    <row r="5" spans="1:37" ht="23.25" x14ac:dyDescent="0.2">
      <c r="A5" s="74"/>
      <c r="B5" s="475" t="s">
        <v>126</v>
      </c>
      <c r="C5" s="475"/>
      <c r="D5" s="475"/>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x14ac:dyDescent="0.2">
      <c r="A6" s="74"/>
      <c r="B6" s="75"/>
      <c r="C6" s="75"/>
      <c r="D6" s="75"/>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18" x14ac:dyDescent="0.2">
      <c r="A7" s="74"/>
      <c r="B7" s="93"/>
      <c r="C7" s="94" t="s">
        <v>127</v>
      </c>
      <c r="D7" s="94" t="s">
        <v>110</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36" x14ac:dyDescent="0.2">
      <c r="A8" s="74"/>
      <c r="B8" s="95" t="s">
        <v>128</v>
      </c>
      <c r="C8" s="96" t="s">
        <v>129</v>
      </c>
      <c r="D8" s="97">
        <v>0.2</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ht="36" x14ac:dyDescent="0.2">
      <c r="A9" s="74"/>
      <c r="B9" s="98" t="s">
        <v>130</v>
      </c>
      <c r="C9" s="96" t="s">
        <v>131</v>
      </c>
      <c r="D9" s="97">
        <v>0.4</v>
      </c>
      <c r="E9" s="74"/>
      <c r="F9" s="74"/>
      <c r="G9" s="74"/>
      <c r="H9" s="74"/>
      <c r="I9" s="74"/>
      <c r="J9" s="74"/>
      <c r="K9" s="74"/>
      <c r="L9" s="74"/>
      <c r="M9" s="74"/>
      <c r="N9" s="74"/>
      <c r="O9" s="74"/>
      <c r="P9" s="74"/>
      <c r="Q9" s="74"/>
      <c r="R9" s="74"/>
      <c r="S9" s="74"/>
      <c r="T9" s="74"/>
      <c r="U9" s="74"/>
      <c r="V9" s="74"/>
      <c r="W9" s="74"/>
      <c r="X9" s="74"/>
      <c r="Y9" s="74"/>
      <c r="Z9" s="74"/>
      <c r="AA9" s="74"/>
      <c r="AB9" s="74"/>
      <c r="AC9" s="74"/>
      <c r="AD9" s="74"/>
      <c r="AE9" s="74"/>
    </row>
    <row r="10" spans="1:37" ht="36" x14ac:dyDescent="0.2">
      <c r="A10" s="74"/>
      <c r="B10" s="99" t="s">
        <v>132</v>
      </c>
      <c r="C10" s="96" t="s">
        <v>133</v>
      </c>
      <c r="D10" s="97">
        <v>0.6</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row>
    <row r="11" spans="1:37" ht="36" x14ac:dyDescent="0.2">
      <c r="A11" s="74"/>
      <c r="B11" s="100" t="s">
        <v>134</v>
      </c>
      <c r="C11" s="96" t="s">
        <v>135</v>
      </c>
      <c r="D11" s="97">
        <v>0.8</v>
      </c>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row>
    <row r="12" spans="1:37" ht="36" x14ac:dyDescent="0.2">
      <c r="A12" s="74"/>
      <c r="B12" s="101" t="s">
        <v>136</v>
      </c>
      <c r="C12" s="96" t="s">
        <v>137</v>
      </c>
      <c r="D12" s="97">
        <v>1</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row>
    <row r="13" spans="1:37" x14ac:dyDescent="0.2">
      <c r="A13" s="74"/>
      <c r="B13" s="84"/>
      <c r="C13" s="84"/>
      <c r="D13" s="8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ht="15" x14ac:dyDescent="0.2">
      <c r="A14" s="74"/>
      <c r="B14" s="92"/>
      <c r="C14" s="84"/>
      <c r="D14" s="8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
      <c r="A15" s="74"/>
      <c r="B15" s="84"/>
      <c r="C15" s="84"/>
      <c r="D15" s="8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
      <c r="A16" s="74"/>
      <c r="B16" s="84"/>
      <c r="C16" s="84"/>
      <c r="D16" s="8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
      <c r="A17" s="74"/>
      <c r="B17" s="84"/>
      <c r="C17" s="84"/>
      <c r="D17" s="8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
      <c r="A18" s="74"/>
      <c r="B18" s="84"/>
      <c r="C18" s="84"/>
      <c r="D18" s="8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
      <c r="A19" s="74"/>
      <c r="B19" s="84"/>
      <c r="C19" s="84"/>
      <c r="D19" s="8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
      <c r="A20" s="74"/>
      <c r="B20" s="84"/>
      <c r="C20" s="84"/>
      <c r="D20" s="8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
      <c r="A21" s="74"/>
      <c r="B21" s="84"/>
      <c r="C21" s="84"/>
      <c r="D21" s="8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
      <c r="A22" s="74"/>
      <c r="B22" s="84"/>
      <c r="C22" s="84"/>
      <c r="D22" s="8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7" x14ac:dyDescent="0.2">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row>
    <row r="34" spans="1:37" x14ac:dyDescent="0.2">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row>
    <row r="35" spans="1:37" x14ac:dyDescent="0.2">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row>
    <row r="36" spans="1:37" x14ac:dyDescent="0.2">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row>
    <row r="37" spans="1:37" x14ac:dyDescent="0.2">
      <c r="A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7" x14ac:dyDescent="0.2">
      <c r="A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row>
    <row r="39" spans="1:37" x14ac:dyDescent="0.2">
      <c r="A39" s="74"/>
    </row>
    <row r="40" spans="1:37" x14ac:dyDescent="0.2">
      <c r="A40" s="74"/>
    </row>
    <row r="41" spans="1:37" x14ac:dyDescent="0.2">
      <c r="A41" s="74"/>
    </row>
    <row r="42" spans="1:37" x14ac:dyDescent="0.2">
      <c r="A42" s="74"/>
    </row>
    <row r="43" spans="1:37" x14ac:dyDescent="0.2">
      <c r="A43" s="74"/>
    </row>
    <row r="44" spans="1:37" x14ac:dyDescent="0.2">
      <c r="A44" s="74"/>
    </row>
    <row r="45" spans="1:37" x14ac:dyDescent="0.2">
      <c r="A45" s="74"/>
    </row>
    <row r="46" spans="1:37" x14ac:dyDescent="0.2">
      <c r="A46" s="74"/>
    </row>
    <row r="47" spans="1:37" x14ac:dyDescent="0.2">
      <c r="A47" s="74"/>
    </row>
    <row r="48" spans="1:37"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sheetData>
  <mergeCells count="3">
    <mergeCell ref="B5:D5"/>
    <mergeCell ref="B1:B4"/>
    <mergeCell ref="C1: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V236"/>
  <sheetViews>
    <sheetView zoomScale="55" zoomScaleNormal="55" workbookViewId="0">
      <selection activeCell="F8" sqref="F8"/>
    </sheetView>
  </sheetViews>
  <sheetFormatPr baseColWidth="10" defaultColWidth="11.5703125" defaultRowHeight="14.25" x14ac:dyDescent="0.2"/>
  <cols>
    <col min="1" max="1" width="11.5703125" style="73"/>
    <col min="2" max="2" width="40.42578125" style="73" customWidth="1"/>
    <col min="3" max="3" width="27.85546875" style="73" customWidth="1"/>
    <col min="4" max="4" width="43.7109375" style="73" customWidth="1"/>
    <col min="5" max="5" width="55.5703125" style="73" customWidth="1"/>
    <col min="6" max="6" width="144.7109375" style="73" bestFit="1" customWidth="1"/>
    <col min="7" max="16384" width="11.5703125" style="73"/>
  </cols>
  <sheetData>
    <row r="1" spans="1:22" ht="26.25" customHeight="1" x14ac:dyDescent="0.2">
      <c r="B1" s="486"/>
      <c r="C1" s="487" t="s">
        <v>0</v>
      </c>
      <c r="D1" s="488"/>
      <c r="E1" s="63"/>
    </row>
    <row r="2" spans="1:22" ht="26.25" customHeight="1" x14ac:dyDescent="0.2">
      <c r="B2" s="486"/>
      <c r="C2" s="489"/>
      <c r="D2" s="490"/>
      <c r="E2" s="63"/>
    </row>
    <row r="3" spans="1:22" ht="26.25" customHeight="1" x14ac:dyDescent="0.2">
      <c r="B3" s="486"/>
      <c r="C3" s="489"/>
      <c r="D3" s="490"/>
      <c r="E3" s="63"/>
    </row>
    <row r="4" spans="1:22" ht="28.5" customHeight="1" x14ac:dyDescent="0.2">
      <c r="B4" s="486"/>
      <c r="C4" s="491"/>
      <c r="D4" s="492"/>
      <c r="E4" s="63"/>
    </row>
    <row r="5" spans="1:22" ht="33.75" x14ac:dyDescent="0.2">
      <c r="A5" s="74"/>
      <c r="B5" s="485" t="s">
        <v>138</v>
      </c>
      <c r="C5" s="485"/>
      <c r="D5" s="485"/>
      <c r="E5" s="485"/>
      <c r="F5" s="74"/>
      <c r="G5" s="74"/>
      <c r="H5" s="74"/>
      <c r="I5" s="74"/>
      <c r="J5" s="74"/>
      <c r="K5" s="74"/>
      <c r="L5" s="74"/>
      <c r="M5" s="74"/>
      <c r="N5" s="74"/>
      <c r="O5" s="74"/>
      <c r="P5" s="74"/>
      <c r="Q5" s="74"/>
      <c r="R5" s="74"/>
      <c r="S5" s="74"/>
      <c r="T5" s="74"/>
      <c r="U5" s="74"/>
      <c r="V5" s="74"/>
    </row>
    <row r="6" spans="1:22" x14ac:dyDescent="0.2">
      <c r="A6" s="74"/>
      <c r="B6" s="75"/>
      <c r="C6" s="75"/>
      <c r="D6" s="75"/>
      <c r="E6" s="75"/>
      <c r="F6" s="74"/>
      <c r="G6" s="74"/>
      <c r="H6" s="74"/>
      <c r="I6" s="74"/>
      <c r="J6" s="74"/>
      <c r="K6" s="74"/>
      <c r="L6" s="74"/>
      <c r="M6" s="74"/>
      <c r="N6" s="74"/>
      <c r="O6" s="74"/>
      <c r="P6" s="74"/>
      <c r="Q6" s="74"/>
      <c r="R6" s="74"/>
      <c r="S6" s="74"/>
      <c r="T6" s="74"/>
      <c r="U6" s="74"/>
      <c r="V6" s="74"/>
    </row>
    <row r="7" spans="1:22" ht="30" customHeight="1" x14ac:dyDescent="0.2">
      <c r="A7" s="74"/>
      <c r="B7" s="64"/>
      <c r="C7" s="482" t="s">
        <v>139</v>
      </c>
      <c r="D7" s="483"/>
      <c r="E7" s="484"/>
      <c r="F7" s="74"/>
      <c r="G7" s="74"/>
      <c r="H7" s="74"/>
      <c r="I7" s="74"/>
      <c r="J7" s="74"/>
      <c r="K7" s="74"/>
      <c r="L7" s="74"/>
      <c r="M7" s="74"/>
      <c r="N7" s="74"/>
      <c r="O7" s="74"/>
      <c r="P7" s="74"/>
      <c r="Q7" s="74"/>
      <c r="R7" s="74"/>
      <c r="S7" s="74"/>
      <c r="T7" s="74"/>
      <c r="U7" s="74"/>
      <c r="V7" s="74"/>
    </row>
    <row r="8" spans="1:22" ht="88.5" customHeight="1" x14ac:dyDescent="0.2">
      <c r="A8" s="76" t="s">
        <v>140</v>
      </c>
      <c r="B8" s="77" t="s">
        <v>141</v>
      </c>
      <c r="C8" s="172" t="s">
        <v>142</v>
      </c>
      <c r="D8" s="173"/>
      <c r="E8" s="174"/>
      <c r="F8" s="74"/>
      <c r="G8" s="74"/>
      <c r="H8" s="74"/>
      <c r="I8" s="74"/>
      <c r="J8" s="74"/>
      <c r="K8" s="74"/>
      <c r="L8" s="74"/>
      <c r="M8" s="74"/>
      <c r="N8" s="74"/>
      <c r="O8" s="74"/>
      <c r="P8" s="74"/>
      <c r="Q8" s="74"/>
      <c r="R8" s="74"/>
      <c r="S8" s="74"/>
      <c r="T8" s="74"/>
      <c r="U8" s="74"/>
      <c r="V8" s="74"/>
    </row>
    <row r="9" spans="1:22" ht="75.75" customHeight="1" x14ac:dyDescent="0.2">
      <c r="A9" s="76" t="s">
        <v>143</v>
      </c>
      <c r="B9" s="78" t="s">
        <v>144</v>
      </c>
      <c r="C9" s="172" t="s">
        <v>145</v>
      </c>
      <c r="D9" s="173"/>
      <c r="E9" s="174"/>
      <c r="F9" s="74"/>
      <c r="G9" s="74"/>
      <c r="H9" s="74"/>
      <c r="I9" s="74"/>
      <c r="J9" s="74"/>
      <c r="K9" s="74"/>
      <c r="L9" s="74"/>
      <c r="M9" s="74"/>
      <c r="N9" s="74"/>
      <c r="O9" s="74"/>
      <c r="P9" s="74"/>
      <c r="Q9" s="74"/>
      <c r="R9" s="74"/>
      <c r="S9" s="74"/>
      <c r="T9" s="74"/>
      <c r="U9" s="74"/>
      <c r="V9" s="74"/>
    </row>
    <row r="10" spans="1:22" ht="78.75" customHeight="1" x14ac:dyDescent="0.2">
      <c r="A10" s="76" t="s">
        <v>116</v>
      </c>
      <c r="B10" s="79" t="s">
        <v>146</v>
      </c>
      <c r="C10" s="172" t="s">
        <v>147</v>
      </c>
      <c r="D10" s="173"/>
      <c r="E10" s="174"/>
      <c r="F10" s="74"/>
      <c r="G10" s="74"/>
      <c r="H10" s="74"/>
      <c r="I10" s="74"/>
      <c r="J10" s="74"/>
      <c r="K10" s="74"/>
      <c r="L10" s="74"/>
      <c r="M10" s="74"/>
      <c r="N10" s="74"/>
      <c r="O10" s="74"/>
      <c r="P10" s="74"/>
      <c r="Q10" s="74"/>
      <c r="R10" s="74"/>
      <c r="S10" s="74"/>
      <c r="T10" s="74"/>
      <c r="U10" s="74"/>
      <c r="V10" s="74"/>
    </row>
    <row r="11" spans="1:22" ht="78.75" customHeight="1" x14ac:dyDescent="0.2">
      <c r="A11" s="76" t="s">
        <v>148</v>
      </c>
      <c r="B11" s="80" t="s">
        <v>149</v>
      </c>
      <c r="C11" s="172" t="s">
        <v>150</v>
      </c>
      <c r="D11" s="173"/>
      <c r="E11" s="174"/>
      <c r="F11" s="74"/>
      <c r="G11" s="74"/>
      <c r="H11" s="74"/>
      <c r="I11" s="74"/>
      <c r="J11" s="74"/>
      <c r="K11" s="74"/>
      <c r="L11" s="74"/>
      <c r="M11" s="74"/>
      <c r="N11" s="74"/>
      <c r="O11" s="74"/>
      <c r="P11" s="74"/>
      <c r="Q11" s="74"/>
      <c r="R11" s="74"/>
      <c r="S11" s="74"/>
      <c r="T11" s="74"/>
      <c r="U11" s="74"/>
      <c r="V11" s="74"/>
    </row>
    <row r="12" spans="1:22" ht="85.5" customHeight="1" x14ac:dyDescent="0.2">
      <c r="A12" s="76" t="s">
        <v>151</v>
      </c>
      <c r="B12" s="81" t="s">
        <v>152</v>
      </c>
      <c r="C12" s="172" t="s">
        <v>153</v>
      </c>
      <c r="D12" s="173"/>
      <c r="E12" s="174"/>
      <c r="F12" s="74"/>
      <c r="G12" s="74"/>
      <c r="H12" s="74"/>
      <c r="I12" s="74"/>
      <c r="J12" s="74"/>
      <c r="K12" s="74"/>
      <c r="L12" s="74"/>
      <c r="M12" s="74"/>
      <c r="N12" s="74"/>
      <c r="O12" s="74"/>
      <c r="P12" s="74"/>
      <c r="Q12" s="74"/>
      <c r="R12" s="74"/>
      <c r="S12" s="74"/>
      <c r="T12" s="74"/>
      <c r="U12" s="74"/>
      <c r="V12" s="74"/>
    </row>
    <row r="13" spans="1:22" ht="20.25" x14ac:dyDescent="0.2">
      <c r="A13" s="76"/>
      <c r="B13" s="76"/>
      <c r="C13" s="82"/>
      <c r="D13" s="82"/>
      <c r="E13" s="82"/>
      <c r="F13" s="74"/>
      <c r="G13" s="74"/>
      <c r="H13" s="74"/>
      <c r="I13" s="74"/>
      <c r="J13" s="74"/>
      <c r="K13" s="74"/>
      <c r="L13" s="74"/>
      <c r="M13" s="74"/>
      <c r="N13" s="74"/>
      <c r="O13" s="74"/>
      <c r="P13" s="74"/>
      <c r="Q13" s="74"/>
      <c r="R13" s="74"/>
      <c r="S13" s="74"/>
      <c r="T13" s="74"/>
      <c r="U13" s="74"/>
      <c r="V13" s="74"/>
    </row>
    <row r="14" spans="1:22" ht="15" x14ac:dyDescent="0.2">
      <c r="A14" s="76"/>
      <c r="B14" s="83"/>
      <c r="C14" s="83"/>
      <c r="D14" s="83"/>
      <c r="E14" s="83"/>
      <c r="F14" s="74"/>
      <c r="G14" s="74"/>
      <c r="H14" s="74"/>
      <c r="I14" s="74"/>
      <c r="J14" s="74"/>
      <c r="K14" s="74"/>
      <c r="L14" s="74"/>
      <c r="M14" s="74"/>
      <c r="N14" s="74"/>
      <c r="O14" s="74"/>
      <c r="P14" s="74"/>
      <c r="Q14" s="74"/>
      <c r="R14" s="74"/>
      <c r="S14" s="74"/>
      <c r="T14" s="74"/>
      <c r="U14" s="74"/>
      <c r="V14" s="74"/>
    </row>
    <row r="15" spans="1:22" x14ac:dyDescent="0.2">
      <c r="A15" s="76"/>
      <c r="B15" s="76" t="s">
        <v>154</v>
      </c>
      <c r="C15" s="76" t="s">
        <v>155</v>
      </c>
      <c r="D15" s="76"/>
      <c r="E15" s="76" t="s">
        <v>156</v>
      </c>
      <c r="F15" s="74"/>
      <c r="G15" s="74"/>
      <c r="H15" s="74"/>
      <c r="I15" s="74"/>
      <c r="J15" s="74"/>
      <c r="K15" s="74"/>
      <c r="L15" s="74"/>
      <c r="M15" s="74"/>
      <c r="N15" s="74"/>
      <c r="O15" s="74"/>
      <c r="P15" s="74"/>
      <c r="Q15" s="74"/>
      <c r="R15" s="74"/>
      <c r="S15" s="74"/>
      <c r="T15" s="74"/>
      <c r="U15" s="74"/>
      <c r="V15" s="74"/>
    </row>
    <row r="16" spans="1:22" x14ac:dyDescent="0.2">
      <c r="A16" s="76"/>
      <c r="B16" s="76" t="s">
        <v>157</v>
      </c>
      <c r="C16" s="76" t="s">
        <v>158</v>
      </c>
      <c r="D16" s="76"/>
      <c r="E16" s="76" t="s">
        <v>159</v>
      </c>
      <c r="F16" s="74"/>
      <c r="G16" s="74"/>
      <c r="H16" s="74"/>
      <c r="I16" s="74"/>
      <c r="J16" s="74"/>
      <c r="K16" s="74"/>
      <c r="L16" s="74"/>
      <c r="M16" s="74"/>
      <c r="N16" s="74"/>
      <c r="O16" s="74"/>
      <c r="P16" s="74"/>
      <c r="Q16" s="74"/>
      <c r="R16" s="74"/>
      <c r="S16" s="74"/>
      <c r="T16" s="74"/>
      <c r="U16" s="74"/>
      <c r="V16" s="74"/>
    </row>
    <row r="17" spans="1:22" x14ac:dyDescent="0.2">
      <c r="A17" s="76"/>
      <c r="B17" s="76"/>
      <c r="C17" s="76" t="s">
        <v>160</v>
      </c>
      <c r="D17" s="76"/>
      <c r="E17" s="76" t="s">
        <v>161</v>
      </c>
      <c r="F17" s="74"/>
      <c r="G17" s="74"/>
      <c r="H17" s="74"/>
      <c r="I17" s="74"/>
      <c r="J17" s="74"/>
      <c r="K17" s="74"/>
      <c r="L17" s="74"/>
      <c r="M17" s="74"/>
      <c r="N17" s="74"/>
      <c r="O17" s="74"/>
      <c r="P17" s="74"/>
      <c r="Q17" s="74"/>
      <c r="R17" s="74"/>
      <c r="S17" s="74"/>
      <c r="T17" s="74"/>
      <c r="U17" s="74"/>
      <c r="V17" s="74"/>
    </row>
    <row r="18" spans="1:22" x14ac:dyDescent="0.2">
      <c r="A18" s="76"/>
      <c r="B18" s="76"/>
      <c r="C18" s="76" t="s">
        <v>98</v>
      </c>
      <c r="D18" s="76"/>
      <c r="E18" s="76" t="s">
        <v>162</v>
      </c>
      <c r="F18" s="74"/>
      <c r="G18" s="74"/>
      <c r="H18" s="74"/>
      <c r="I18" s="74"/>
      <c r="J18" s="74"/>
      <c r="K18" s="74"/>
      <c r="L18" s="74"/>
      <c r="M18" s="74"/>
      <c r="N18" s="74"/>
      <c r="O18" s="74"/>
      <c r="P18" s="74"/>
      <c r="Q18" s="74"/>
      <c r="R18" s="74"/>
      <c r="S18" s="74"/>
      <c r="T18" s="74"/>
      <c r="U18" s="74"/>
      <c r="V18" s="74"/>
    </row>
    <row r="19" spans="1:22" x14ac:dyDescent="0.2">
      <c r="A19" s="76"/>
      <c r="B19" s="76"/>
      <c r="C19" s="76" t="s">
        <v>163</v>
      </c>
      <c r="D19" s="76"/>
      <c r="E19" s="76" t="s">
        <v>164</v>
      </c>
      <c r="F19" s="74"/>
      <c r="G19" s="74"/>
      <c r="H19" s="74"/>
      <c r="I19" s="74"/>
      <c r="J19" s="74"/>
      <c r="K19" s="74"/>
      <c r="L19" s="74"/>
      <c r="M19" s="74"/>
      <c r="N19" s="74"/>
      <c r="O19" s="74"/>
      <c r="P19" s="74"/>
      <c r="Q19" s="74"/>
      <c r="R19" s="74"/>
      <c r="S19" s="74"/>
      <c r="T19" s="74"/>
      <c r="U19" s="74"/>
      <c r="V19" s="74"/>
    </row>
    <row r="20" spans="1:22" x14ac:dyDescent="0.2">
      <c r="A20" s="76"/>
      <c r="B20" s="76"/>
      <c r="C20" s="76"/>
      <c r="D20" s="76"/>
      <c r="E20" s="76"/>
      <c r="F20" s="74"/>
      <c r="G20" s="74"/>
      <c r="H20" s="74"/>
      <c r="I20" s="74"/>
      <c r="J20" s="74"/>
      <c r="K20" s="74"/>
      <c r="L20" s="74"/>
      <c r="M20" s="74"/>
      <c r="N20" s="74"/>
      <c r="O20" s="74"/>
      <c r="P20" s="74"/>
    </row>
    <row r="21" spans="1:22" x14ac:dyDescent="0.2">
      <c r="A21" s="76"/>
      <c r="B21" s="76"/>
      <c r="C21" s="76"/>
      <c r="D21" s="76"/>
      <c r="E21" s="76"/>
      <c r="F21" s="74"/>
      <c r="G21" s="74"/>
      <c r="H21" s="74"/>
      <c r="I21" s="74"/>
      <c r="J21" s="74"/>
      <c r="K21" s="74"/>
      <c r="L21" s="74"/>
      <c r="M21" s="74"/>
      <c r="N21" s="74"/>
      <c r="O21" s="74"/>
      <c r="P21" s="74"/>
    </row>
    <row r="22" spans="1:22" x14ac:dyDescent="0.2">
      <c r="A22" s="76"/>
      <c r="B22" s="84"/>
      <c r="C22" s="84"/>
      <c r="D22" s="84"/>
      <c r="E22" s="84"/>
      <c r="F22" s="74"/>
      <c r="G22" s="74"/>
      <c r="H22" s="74"/>
      <c r="I22" s="74"/>
      <c r="J22" s="74"/>
      <c r="K22" s="74"/>
      <c r="L22" s="74"/>
      <c r="M22" s="74"/>
      <c r="N22" s="74"/>
      <c r="O22" s="74"/>
      <c r="P22" s="74"/>
    </row>
    <row r="23" spans="1:22" x14ac:dyDescent="0.2">
      <c r="A23" s="76"/>
      <c r="B23" s="84"/>
      <c r="C23" s="84"/>
      <c r="D23" s="84"/>
      <c r="E23" s="84"/>
      <c r="F23" s="74"/>
      <c r="G23" s="74"/>
      <c r="H23" s="74"/>
      <c r="I23" s="74"/>
      <c r="J23" s="74"/>
      <c r="K23" s="74"/>
      <c r="L23" s="74"/>
      <c r="M23" s="74"/>
      <c r="N23" s="74"/>
      <c r="O23" s="74"/>
      <c r="P23" s="74"/>
    </row>
    <row r="24" spans="1:22" x14ac:dyDescent="0.2">
      <c r="A24" s="76"/>
      <c r="B24" s="84"/>
      <c r="C24" s="84"/>
      <c r="D24" s="84"/>
      <c r="E24" s="84"/>
      <c r="F24" s="74"/>
      <c r="G24" s="74"/>
      <c r="H24" s="74"/>
      <c r="I24" s="74"/>
      <c r="J24" s="74"/>
      <c r="K24" s="74"/>
      <c r="L24" s="74"/>
      <c r="M24" s="74"/>
      <c r="N24" s="74"/>
      <c r="O24" s="74"/>
      <c r="P24" s="74"/>
    </row>
    <row r="25" spans="1:22" x14ac:dyDescent="0.2">
      <c r="A25" s="76"/>
      <c r="B25" s="84"/>
      <c r="C25" s="84"/>
      <c r="D25" s="84"/>
      <c r="E25" s="84"/>
      <c r="F25" s="74"/>
      <c r="G25" s="74"/>
      <c r="H25" s="74"/>
      <c r="I25" s="74"/>
      <c r="J25" s="74"/>
      <c r="K25" s="74"/>
      <c r="L25" s="74"/>
      <c r="M25" s="74"/>
      <c r="N25" s="74"/>
      <c r="O25" s="74"/>
      <c r="P25" s="74"/>
    </row>
    <row r="26" spans="1:22" ht="20.25" x14ac:dyDescent="0.2">
      <c r="A26" s="76"/>
      <c r="B26" s="76"/>
      <c r="C26" s="82"/>
      <c r="D26" s="82"/>
      <c r="E26" s="82"/>
      <c r="F26" s="74"/>
      <c r="G26" s="74"/>
      <c r="H26" s="74"/>
      <c r="I26" s="74"/>
      <c r="J26" s="74"/>
      <c r="K26" s="74"/>
      <c r="L26" s="74"/>
      <c r="M26" s="74"/>
      <c r="N26" s="74"/>
      <c r="O26" s="74"/>
      <c r="P26" s="74"/>
    </row>
    <row r="27" spans="1:22" ht="20.25" x14ac:dyDescent="0.2">
      <c r="A27" s="76"/>
      <c r="B27" s="76"/>
      <c r="C27" s="82"/>
      <c r="D27" s="82"/>
      <c r="E27" s="82"/>
      <c r="F27" s="74"/>
      <c r="G27" s="74"/>
      <c r="H27" s="74"/>
      <c r="I27" s="74"/>
      <c r="J27" s="74"/>
      <c r="K27" s="74"/>
      <c r="L27" s="74"/>
      <c r="M27" s="74"/>
      <c r="N27" s="74"/>
      <c r="O27" s="74"/>
      <c r="P27" s="74"/>
    </row>
    <row r="28" spans="1:22" ht="20.25" x14ac:dyDescent="0.2">
      <c r="A28" s="76"/>
      <c r="B28" s="76"/>
      <c r="C28" s="82"/>
      <c r="D28" s="82"/>
      <c r="E28" s="82"/>
      <c r="F28" s="74"/>
      <c r="G28" s="74"/>
      <c r="H28" s="74"/>
      <c r="I28" s="74"/>
      <c r="J28" s="74"/>
      <c r="K28" s="74"/>
      <c r="L28" s="74"/>
      <c r="M28" s="74"/>
      <c r="N28" s="74"/>
      <c r="O28" s="74"/>
      <c r="P28" s="74"/>
    </row>
    <row r="29" spans="1:22" ht="20.25" x14ac:dyDescent="0.2">
      <c r="A29" s="76"/>
      <c r="B29" s="76"/>
      <c r="C29" s="82"/>
      <c r="D29" s="82"/>
      <c r="E29" s="82"/>
      <c r="F29" s="74"/>
      <c r="G29" s="74"/>
      <c r="H29" s="74"/>
      <c r="I29" s="74"/>
      <c r="J29" s="74"/>
      <c r="K29" s="74"/>
      <c r="L29" s="74"/>
      <c r="M29" s="74"/>
      <c r="N29" s="74"/>
      <c r="O29" s="74"/>
      <c r="P29" s="74"/>
    </row>
    <row r="30" spans="1:22" ht="20.25" x14ac:dyDescent="0.2">
      <c r="A30" s="76"/>
      <c r="B30" s="76"/>
      <c r="C30" s="82"/>
      <c r="D30" s="82"/>
      <c r="E30" s="82"/>
      <c r="F30" s="74"/>
      <c r="G30" s="74"/>
      <c r="H30" s="74"/>
      <c r="I30" s="74"/>
      <c r="J30" s="74"/>
      <c r="K30" s="74"/>
      <c r="L30" s="74"/>
      <c r="M30" s="74"/>
      <c r="N30" s="74"/>
      <c r="O30" s="74"/>
      <c r="P30" s="74"/>
    </row>
    <row r="31" spans="1:22" ht="20.25" x14ac:dyDescent="0.2">
      <c r="A31" s="76"/>
      <c r="B31" s="76"/>
      <c r="C31" s="82"/>
      <c r="D31" s="82"/>
      <c r="E31" s="82"/>
      <c r="F31" s="74"/>
      <c r="G31" s="74"/>
      <c r="H31" s="74"/>
      <c r="I31" s="74"/>
      <c r="J31" s="74"/>
      <c r="K31" s="74"/>
      <c r="L31" s="74"/>
      <c r="M31" s="74"/>
      <c r="N31" s="74"/>
      <c r="O31" s="74"/>
      <c r="P31" s="74"/>
    </row>
    <row r="32" spans="1:22" ht="20.25" x14ac:dyDescent="0.2">
      <c r="A32" s="76"/>
      <c r="B32" s="76"/>
      <c r="C32" s="82"/>
      <c r="D32" s="82"/>
      <c r="E32" s="82"/>
      <c r="F32" s="74"/>
      <c r="G32" s="74"/>
      <c r="H32" s="74"/>
      <c r="I32" s="74"/>
      <c r="J32" s="74"/>
      <c r="K32" s="74"/>
      <c r="L32" s="74"/>
      <c r="M32" s="74"/>
      <c r="N32" s="74"/>
      <c r="O32" s="74"/>
      <c r="P32" s="74"/>
    </row>
    <row r="33" spans="1:16" ht="20.25" x14ac:dyDescent="0.2">
      <c r="A33" s="76"/>
      <c r="B33" s="76"/>
      <c r="C33" s="82"/>
      <c r="D33" s="82"/>
      <c r="E33" s="82"/>
      <c r="F33" s="74"/>
      <c r="G33" s="74"/>
      <c r="H33" s="74"/>
      <c r="I33" s="74"/>
      <c r="J33" s="74"/>
      <c r="K33" s="74"/>
      <c r="L33" s="74"/>
      <c r="M33" s="74"/>
      <c r="N33" s="74"/>
      <c r="O33" s="74"/>
      <c r="P33" s="74"/>
    </row>
    <row r="34" spans="1:16" ht="20.25" x14ac:dyDescent="0.2">
      <c r="A34" s="76"/>
      <c r="B34" s="76"/>
      <c r="C34" s="82"/>
      <c r="D34" s="82"/>
      <c r="E34" s="82"/>
      <c r="F34" s="74"/>
      <c r="G34" s="74"/>
      <c r="H34" s="74"/>
      <c r="I34" s="74"/>
      <c r="J34" s="74"/>
      <c r="K34" s="74"/>
      <c r="L34" s="74"/>
      <c r="M34" s="74"/>
      <c r="N34" s="74"/>
      <c r="O34" s="74"/>
      <c r="P34" s="74"/>
    </row>
    <row r="35" spans="1:16" ht="20.25" x14ac:dyDescent="0.2">
      <c r="A35" s="76"/>
      <c r="B35" s="76"/>
      <c r="C35" s="82"/>
      <c r="D35" s="82"/>
      <c r="E35" s="82"/>
      <c r="F35" s="74"/>
      <c r="G35" s="74"/>
      <c r="H35" s="74"/>
      <c r="I35" s="74"/>
      <c r="J35" s="74"/>
      <c r="K35" s="74"/>
      <c r="L35" s="74"/>
      <c r="M35" s="74"/>
      <c r="N35" s="74"/>
      <c r="O35" s="74"/>
      <c r="P35" s="74"/>
    </row>
    <row r="36" spans="1:16" ht="20.25" x14ac:dyDescent="0.2">
      <c r="A36" s="76"/>
      <c r="B36" s="76"/>
      <c r="C36" s="82"/>
      <c r="D36" s="82"/>
      <c r="E36" s="82"/>
      <c r="F36" s="74"/>
      <c r="G36" s="74"/>
      <c r="H36" s="74"/>
      <c r="I36" s="74"/>
      <c r="J36" s="74"/>
      <c r="K36" s="74"/>
      <c r="L36" s="74"/>
      <c r="M36" s="74"/>
      <c r="N36" s="74"/>
      <c r="O36" s="74"/>
      <c r="P36" s="74"/>
    </row>
    <row r="37" spans="1:16" ht="20.25" x14ac:dyDescent="0.2">
      <c r="A37" s="76"/>
      <c r="B37" s="76"/>
      <c r="C37" s="82"/>
      <c r="D37" s="82"/>
      <c r="E37" s="82"/>
      <c r="F37" s="74"/>
      <c r="G37" s="74"/>
      <c r="H37" s="74"/>
      <c r="I37" s="74"/>
      <c r="J37" s="74"/>
      <c r="K37" s="74"/>
      <c r="L37" s="74"/>
      <c r="M37" s="74"/>
      <c r="N37" s="74"/>
      <c r="O37" s="74"/>
      <c r="P37" s="74"/>
    </row>
    <row r="38" spans="1:16" ht="20.25" x14ac:dyDescent="0.2">
      <c r="A38" s="76"/>
      <c r="B38" s="76"/>
      <c r="C38" s="82"/>
      <c r="D38" s="82"/>
      <c r="E38" s="82"/>
      <c r="F38" s="74"/>
      <c r="G38" s="74"/>
      <c r="H38" s="74"/>
      <c r="I38" s="74"/>
      <c r="J38" s="74"/>
      <c r="K38" s="74"/>
      <c r="L38" s="74"/>
      <c r="M38" s="74"/>
      <c r="N38" s="74"/>
      <c r="O38" s="74"/>
      <c r="P38" s="74"/>
    </row>
    <row r="39" spans="1:16" ht="20.25" x14ac:dyDescent="0.2">
      <c r="A39" s="76"/>
      <c r="B39" s="76"/>
      <c r="C39" s="82"/>
      <c r="D39" s="82"/>
      <c r="E39" s="82"/>
      <c r="F39" s="74"/>
      <c r="G39" s="74"/>
      <c r="H39" s="74"/>
      <c r="I39" s="74"/>
      <c r="J39" s="74"/>
      <c r="K39" s="74"/>
      <c r="L39" s="74"/>
      <c r="M39" s="74"/>
      <c r="N39" s="74"/>
      <c r="O39" s="74"/>
      <c r="P39" s="74"/>
    </row>
    <row r="40" spans="1:16" ht="20.25" x14ac:dyDescent="0.2">
      <c r="A40" s="76"/>
      <c r="B40" s="76"/>
      <c r="C40" s="82"/>
      <c r="D40" s="82"/>
      <c r="E40" s="82"/>
      <c r="F40" s="74"/>
      <c r="G40" s="74"/>
      <c r="H40" s="74"/>
      <c r="I40" s="74"/>
      <c r="J40" s="74"/>
      <c r="K40" s="74"/>
      <c r="L40" s="74"/>
      <c r="M40" s="74"/>
      <c r="N40" s="74"/>
      <c r="O40" s="74"/>
      <c r="P40" s="74"/>
    </row>
    <row r="41" spans="1:16" ht="20.25" x14ac:dyDescent="0.2">
      <c r="A41" s="76"/>
      <c r="B41" s="76"/>
      <c r="C41" s="82"/>
      <c r="D41" s="82"/>
      <c r="E41" s="82"/>
      <c r="F41" s="74"/>
      <c r="G41" s="74"/>
      <c r="H41" s="74"/>
      <c r="I41" s="74"/>
      <c r="J41" s="74"/>
      <c r="K41" s="74"/>
      <c r="L41" s="74"/>
      <c r="M41" s="74"/>
      <c r="N41" s="74"/>
      <c r="O41" s="74"/>
      <c r="P41" s="74"/>
    </row>
    <row r="42" spans="1:16" ht="20.25" x14ac:dyDescent="0.2">
      <c r="A42" s="76"/>
      <c r="B42" s="76"/>
      <c r="C42" s="82"/>
      <c r="D42" s="82"/>
      <c r="E42" s="82"/>
      <c r="F42" s="74"/>
      <c r="G42" s="74"/>
      <c r="H42" s="74"/>
      <c r="I42" s="74"/>
      <c r="J42" s="74"/>
      <c r="K42" s="74"/>
      <c r="L42" s="74"/>
      <c r="M42" s="74"/>
      <c r="N42" s="74"/>
      <c r="O42" s="74"/>
      <c r="P42" s="74"/>
    </row>
    <row r="43" spans="1:16" ht="20.25" x14ac:dyDescent="0.2">
      <c r="A43" s="76"/>
      <c r="B43" s="76"/>
      <c r="C43" s="82"/>
      <c r="D43" s="82"/>
      <c r="E43" s="82"/>
      <c r="F43" s="74"/>
      <c r="G43" s="74"/>
      <c r="H43" s="74"/>
      <c r="I43" s="74"/>
      <c r="J43" s="74"/>
      <c r="K43" s="74"/>
      <c r="L43" s="74"/>
      <c r="M43" s="74"/>
      <c r="N43" s="74"/>
      <c r="O43" s="74"/>
      <c r="P43" s="74"/>
    </row>
    <row r="44" spans="1:16" ht="20.25" x14ac:dyDescent="0.2">
      <c r="A44" s="76"/>
      <c r="B44" s="76"/>
      <c r="C44" s="82"/>
      <c r="D44" s="82"/>
      <c r="E44" s="82"/>
      <c r="F44" s="74"/>
      <c r="G44" s="74"/>
      <c r="H44" s="74"/>
      <c r="I44" s="74"/>
      <c r="J44" s="74"/>
      <c r="K44" s="74"/>
      <c r="L44" s="74"/>
      <c r="M44" s="74"/>
      <c r="N44" s="74"/>
      <c r="O44" s="74"/>
      <c r="P44" s="74"/>
    </row>
    <row r="45" spans="1:16" ht="20.25" x14ac:dyDescent="0.2">
      <c r="A45" s="76"/>
      <c r="B45" s="76"/>
      <c r="C45" s="82"/>
      <c r="D45" s="82"/>
      <c r="E45" s="82"/>
      <c r="F45" s="74"/>
      <c r="G45" s="74"/>
      <c r="H45" s="74"/>
      <c r="I45" s="74"/>
      <c r="J45" s="74"/>
      <c r="K45" s="74"/>
      <c r="L45" s="74"/>
      <c r="M45" s="74"/>
      <c r="N45" s="74"/>
      <c r="O45" s="74"/>
      <c r="P45" s="74"/>
    </row>
    <row r="46" spans="1:16" ht="20.25" x14ac:dyDescent="0.2">
      <c r="A46" s="76"/>
      <c r="B46" s="76"/>
      <c r="C46" s="82"/>
      <c r="D46" s="82"/>
      <c r="E46" s="82"/>
      <c r="F46" s="74"/>
      <c r="G46" s="74"/>
      <c r="H46" s="74"/>
      <c r="I46" s="74"/>
      <c r="J46" s="74"/>
      <c r="K46" s="74"/>
      <c r="L46" s="74"/>
      <c r="M46" s="74"/>
      <c r="N46" s="74"/>
      <c r="O46" s="74"/>
      <c r="P46" s="74"/>
    </row>
    <row r="47" spans="1:16" ht="20.25" x14ac:dyDescent="0.2">
      <c r="A47" s="76"/>
      <c r="B47" s="76"/>
      <c r="C47" s="82"/>
      <c r="D47" s="82"/>
      <c r="E47" s="82"/>
      <c r="F47" s="74"/>
      <c r="G47" s="74"/>
      <c r="H47" s="74"/>
      <c r="I47" s="74"/>
      <c r="J47" s="74"/>
      <c r="K47" s="74"/>
      <c r="L47" s="74"/>
      <c r="M47" s="74"/>
      <c r="N47" s="74"/>
      <c r="O47" s="74"/>
      <c r="P47" s="74"/>
    </row>
    <row r="48" spans="1:16" ht="20.25" x14ac:dyDescent="0.2">
      <c r="A48" s="76"/>
      <c r="B48" s="76"/>
      <c r="C48" s="82"/>
      <c r="D48" s="82"/>
      <c r="E48" s="82"/>
      <c r="F48" s="74"/>
      <c r="G48" s="74"/>
      <c r="H48" s="74"/>
      <c r="I48" s="74"/>
      <c r="J48" s="74"/>
      <c r="K48" s="74"/>
      <c r="L48" s="74"/>
      <c r="M48" s="74"/>
      <c r="N48" s="74"/>
      <c r="O48" s="74"/>
      <c r="P48" s="74"/>
    </row>
    <row r="49" spans="1:16" ht="20.25" x14ac:dyDescent="0.2">
      <c r="A49" s="76"/>
      <c r="B49" s="76"/>
      <c r="C49" s="82"/>
      <c r="D49" s="82"/>
      <c r="E49" s="82"/>
      <c r="F49" s="74"/>
      <c r="G49" s="74"/>
      <c r="H49" s="74"/>
      <c r="I49" s="74"/>
      <c r="J49" s="74"/>
      <c r="K49" s="74"/>
      <c r="L49" s="74"/>
      <c r="M49" s="74"/>
      <c r="N49" s="74"/>
      <c r="O49" s="74"/>
      <c r="P49" s="74"/>
    </row>
    <row r="50" spans="1:16" ht="20.25" x14ac:dyDescent="0.2">
      <c r="A50" s="76"/>
      <c r="B50" s="76"/>
      <c r="C50" s="82"/>
      <c r="D50" s="82"/>
      <c r="E50" s="82"/>
      <c r="F50" s="74"/>
      <c r="G50" s="74"/>
      <c r="H50" s="74"/>
      <c r="I50" s="74"/>
      <c r="J50" s="74"/>
      <c r="K50" s="74"/>
      <c r="L50" s="74"/>
      <c r="M50" s="74"/>
      <c r="N50" s="74"/>
      <c r="O50" s="74"/>
      <c r="P50" s="74"/>
    </row>
    <row r="51" spans="1:16" ht="20.25" x14ac:dyDescent="0.2">
      <c r="A51" s="76"/>
      <c r="B51" s="76"/>
      <c r="C51" s="82"/>
      <c r="D51" s="82"/>
      <c r="E51" s="82"/>
      <c r="F51" s="74"/>
      <c r="G51" s="74"/>
      <c r="H51" s="74"/>
      <c r="I51" s="74"/>
      <c r="J51" s="74"/>
      <c r="K51" s="74"/>
      <c r="L51" s="74"/>
      <c r="M51" s="74"/>
      <c r="N51" s="74"/>
      <c r="O51" s="74"/>
      <c r="P51" s="74"/>
    </row>
    <row r="52" spans="1:16" ht="20.25" x14ac:dyDescent="0.2">
      <c r="A52" s="76"/>
      <c r="B52" s="76"/>
      <c r="C52" s="82"/>
      <c r="D52" s="82"/>
      <c r="E52" s="82"/>
      <c r="F52" s="74"/>
      <c r="G52" s="74"/>
      <c r="H52" s="74"/>
      <c r="I52" s="74"/>
      <c r="J52" s="74"/>
      <c r="K52" s="74"/>
      <c r="L52" s="74"/>
      <c r="M52" s="74"/>
      <c r="N52" s="74"/>
      <c r="O52" s="74"/>
      <c r="P52" s="74"/>
    </row>
    <row r="53" spans="1:16" ht="20.25" x14ac:dyDescent="0.2">
      <c r="A53" s="76"/>
      <c r="B53" s="76"/>
      <c r="C53" s="82"/>
      <c r="D53" s="82"/>
      <c r="E53" s="82"/>
      <c r="F53" s="74"/>
      <c r="G53" s="74"/>
      <c r="H53" s="74"/>
      <c r="I53" s="74"/>
      <c r="J53" s="74"/>
      <c r="K53" s="74"/>
      <c r="L53" s="74"/>
      <c r="M53" s="74"/>
      <c r="N53" s="74"/>
      <c r="O53" s="74"/>
      <c r="P53" s="74"/>
    </row>
    <row r="54" spans="1:16" ht="20.25" x14ac:dyDescent="0.2">
      <c r="A54" s="76"/>
      <c r="B54" s="76"/>
      <c r="C54" s="82"/>
      <c r="D54" s="82"/>
      <c r="E54" s="82"/>
      <c r="F54" s="74"/>
      <c r="G54" s="74"/>
      <c r="H54" s="74"/>
      <c r="I54" s="74"/>
      <c r="J54" s="74"/>
      <c r="K54" s="74"/>
      <c r="L54" s="74"/>
      <c r="M54" s="74"/>
      <c r="N54" s="74"/>
      <c r="O54" s="74"/>
      <c r="P54" s="74"/>
    </row>
    <row r="55" spans="1:16" ht="20.25" x14ac:dyDescent="0.2">
      <c r="A55" s="76"/>
      <c r="B55" s="76"/>
      <c r="C55" s="82"/>
      <c r="D55" s="82"/>
      <c r="E55" s="82"/>
      <c r="F55" s="74"/>
      <c r="G55" s="74"/>
      <c r="H55" s="74"/>
      <c r="I55" s="74"/>
      <c r="J55" s="74"/>
      <c r="K55" s="74"/>
      <c r="L55" s="74"/>
      <c r="M55" s="74"/>
      <c r="N55" s="74"/>
      <c r="O55" s="74"/>
      <c r="P55" s="74"/>
    </row>
    <row r="56" spans="1:16" ht="20.25" x14ac:dyDescent="0.2">
      <c r="A56" s="76"/>
      <c r="B56" s="85"/>
      <c r="C56" s="86"/>
      <c r="D56" s="86"/>
      <c r="E56" s="86"/>
    </row>
    <row r="57" spans="1:16" ht="20.25" x14ac:dyDescent="0.2">
      <c r="A57" s="76"/>
      <c r="B57" s="85"/>
      <c r="C57" s="86"/>
      <c r="D57" s="86"/>
      <c r="E57" s="86"/>
    </row>
    <row r="58" spans="1:16" ht="20.25" x14ac:dyDescent="0.2">
      <c r="A58" s="76"/>
      <c r="B58" s="85"/>
      <c r="C58" s="86"/>
      <c r="D58" s="86"/>
      <c r="E58" s="86"/>
    </row>
    <row r="59" spans="1:16" ht="20.25" x14ac:dyDescent="0.2">
      <c r="A59" s="76"/>
      <c r="B59" s="85"/>
      <c r="C59" s="86"/>
      <c r="D59" s="86"/>
      <c r="E59" s="86"/>
    </row>
    <row r="60" spans="1:16" ht="20.25" x14ac:dyDescent="0.2">
      <c r="A60" s="76"/>
      <c r="B60" s="85"/>
      <c r="C60" s="86"/>
      <c r="D60" s="86"/>
      <c r="E60" s="86"/>
    </row>
    <row r="61" spans="1:16" ht="20.25" x14ac:dyDescent="0.2">
      <c r="A61" s="76"/>
      <c r="B61" s="85"/>
      <c r="C61" s="86"/>
      <c r="D61" s="86"/>
      <c r="E61" s="86"/>
    </row>
    <row r="62" spans="1:16" ht="20.25" x14ac:dyDescent="0.2">
      <c r="A62" s="76"/>
      <c r="B62" s="85"/>
      <c r="C62" s="86"/>
      <c r="D62" s="86"/>
      <c r="E62" s="86"/>
    </row>
    <row r="63" spans="1:16" ht="20.25" x14ac:dyDescent="0.2">
      <c r="A63" s="76"/>
      <c r="B63" s="85"/>
      <c r="C63" s="86"/>
      <c r="D63" s="86"/>
      <c r="E63" s="86"/>
    </row>
    <row r="64" spans="1:16" ht="20.25" x14ac:dyDescent="0.2">
      <c r="A64" s="76"/>
      <c r="B64" s="85"/>
      <c r="C64" s="86"/>
      <c r="D64" s="86"/>
      <c r="E64" s="86"/>
    </row>
    <row r="65" spans="1:5" ht="20.25" x14ac:dyDescent="0.2">
      <c r="A65" s="76"/>
      <c r="B65" s="85"/>
      <c r="C65" s="86"/>
      <c r="D65" s="86"/>
      <c r="E65" s="86"/>
    </row>
    <row r="66" spans="1:5" ht="20.25" x14ac:dyDescent="0.2">
      <c r="A66" s="76"/>
      <c r="B66" s="85"/>
      <c r="C66" s="86"/>
      <c r="D66" s="86"/>
      <c r="E66" s="86"/>
    </row>
    <row r="67" spans="1:5" ht="20.25" x14ac:dyDescent="0.2">
      <c r="A67" s="76"/>
      <c r="B67" s="85"/>
      <c r="C67" s="86"/>
      <c r="D67" s="86"/>
      <c r="E67" s="86"/>
    </row>
    <row r="68" spans="1:5" ht="20.25" x14ac:dyDescent="0.2">
      <c r="A68" s="76"/>
      <c r="B68" s="85"/>
      <c r="C68" s="86"/>
      <c r="D68" s="86"/>
      <c r="E68" s="86"/>
    </row>
    <row r="69" spans="1:5" ht="20.25" x14ac:dyDescent="0.2">
      <c r="A69" s="76"/>
      <c r="B69" s="85"/>
      <c r="C69" s="86"/>
      <c r="D69" s="86"/>
      <c r="E69" s="86"/>
    </row>
    <row r="70" spans="1:5" ht="20.25" x14ac:dyDescent="0.2">
      <c r="A70" s="76"/>
      <c r="B70" s="85"/>
      <c r="C70" s="86"/>
      <c r="D70" s="86"/>
      <c r="E70" s="86"/>
    </row>
    <row r="71" spans="1:5" ht="20.25" x14ac:dyDescent="0.2">
      <c r="A71" s="76"/>
      <c r="B71" s="85"/>
      <c r="C71" s="86"/>
      <c r="D71" s="86"/>
      <c r="E71" s="86"/>
    </row>
    <row r="72" spans="1:5" ht="20.25" x14ac:dyDescent="0.2">
      <c r="A72" s="76"/>
      <c r="B72" s="85"/>
      <c r="C72" s="86"/>
      <c r="D72" s="86"/>
      <c r="E72" s="86"/>
    </row>
    <row r="73" spans="1:5" ht="20.25" x14ac:dyDescent="0.2">
      <c r="A73" s="76"/>
      <c r="B73" s="85"/>
      <c r="C73" s="86"/>
      <c r="D73" s="86"/>
      <c r="E73" s="86"/>
    </row>
    <row r="74" spans="1:5" ht="20.25" x14ac:dyDescent="0.2">
      <c r="A74" s="76"/>
      <c r="B74" s="85"/>
      <c r="C74" s="86"/>
      <c r="D74" s="86"/>
      <c r="E74" s="86"/>
    </row>
    <row r="75" spans="1:5" ht="20.25" x14ac:dyDescent="0.2">
      <c r="A75" s="76"/>
      <c r="B75" s="85"/>
      <c r="C75" s="86"/>
      <c r="D75" s="86"/>
      <c r="E75" s="86"/>
    </row>
    <row r="76" spans="1:5" ht="20.25" x14ac:dyDescent="0.2">
      <c r="A76" s="76"/>
      <c r="B76" s="85"/>
      <c r="C76" s="86"/>
      <c r="D76" s="86"/>
      <c r="E76" s="86"/>
    </row>
    <row r="77" spans="1:5" ht="20.25" x14ac:dyDescent="0.2">
      <c r="A77" s="76"/>
      <c r="B77" s="85"/>
      <c r="C77" s="86"/>
      <c r="D77" s="86"/>
      <c r="E77" s="86"/>
    </row>
    <row r="78" spans="1:5" ht="20.25" x14ac:dyDescent="0.2">
      <c r="A78" s="76"/>
      <c r="B78" s="85"/>
      <c r="C78" s="86"/>
      <c r="D78" s="86"/>
      <c r="E78" s="86"/>
    </row>
    <row r="79" spans="1:5" ht="20.25" x14ac:dyDescent="0.2">
      <c r="A79" s="76"/>
      <c r="B79" s="85"/>
      <c r="C79" s="86"/>
      <c r="D79" s="86"/>
      <c r="E79" s="86"/>
    </row>
    <row r="80" spans="1:5" ht="20.25" x14ac:dyDescent="0.2">
      <c r="A80" s="76"/>
      <c r="B80" s="85"/>
      <c r="C80" s="86"/>
      <c r="D80" s="86"/>
      <c r="E80" s="86"/>
    </row>
    <row r="81" spans="1:5" ht="20.25" x14ac:dyDescent="0.2">
      <c r="A81" s="76"/>
      <c r="B81" s="85"/>
      <c r="C81" s="86"/>
      <c r="D81" s="86"/>
      <c r="E81" s="86"/>
    </row>
    <row r="82" spans="1:5" ht="20.25" x14ac:dyDescent="0.2">
      <c r="A82" s="76"/>
      <c r="B82" s="85"/>
      <c r="C82" s="86"/>
      <c r="D82" s="86"/>
      <c r="E82" s="86"/>
    </row>
    <row r="83" spans="1:5" ht="20.25" x14ac:dyDescent="0.2">
      <c r="A83" s="76"/>
      <c r="B83" s="85"/>
      <c r="C83" s="86"/>
      <c r="D83" s="86"/>
      <c r="E83" s="86"/>
    </row>
    <row r="84" spans="1:5" ht="20.25" x14ac:dyDescent="0.2">
      <c r="A84" s="76"/>
      <c r="B84" s="85"/>
      <c r="C84" s="86"/>
      <c r="D84" s="86"/>
      <c r="E84" s="86"/>
    </row>
    <row r="85" spans="1:5" ht="20.25" x14ac:dyDescent="0.2">
      <c r="A85" s="76"/>
      <c r="B85" s="85"/>
      <c r="C85" s="86"/>
      <c r="D85" s="86"/>
      <c r="E85" s="86"/>
    </row>
    <row r="86" spans="1:5" ht="20.25" x14ac:dyDescent="0.2">
      <c r="A86" s="76"/>
      <c r="B86" s="85"/>
      <c r="C86" s="86"/>
      <c r="D86" s="86"/>
      <c r="E86" s="86"/>
    </row>
    <row r="87" spans="1:5" ht="20.25" x14ac:dyDescent="0.2">
      <c r="A87" s="76"/>
      <c r="B87" s="85"/>
      <c r="C87" s="86"/>
      <c r="D87" s="86"/>
      <c r="E87" s="86"/>
    </row>
    <row r="88" spans="1:5" ht="20.25" x14ac:dyDescent="0.2">
      <c r="A88" s="76"/>
      <c r="B88" s="85"/>
      <c r="C88" s="86"/>
      <c r="D88" s="86"/>
      <c r="E88" s="86"/>
    </row>
    <row r="89" spans="1:5" ht="20.25" x14ac:dyDescent="0.2">
      <c r="A89" s="76"/>
      <c r="B89" s="85"/>
      <c r="C89" s="86"/>
      <c r="D89" s="86"/>
      <c r="E89" s="86"/>
    </row>
    <row r="90" spans="1:5" ht="20.25" x14ac:dyDescent="0.2">
      <c r="A90" s="76"/>
      <c r="B90" s="85"/>
      <c r="C90" s="86"/>
      <c r="D90" s="86"/>
      <c r="E90" s="86"/>
    </row>
    <row r="91" spans="1:5" ht="20.25" x14ac:dyDescent="0.2">
      <c r="A91" s="76"/>
      <c r="B91" s="85"/>
      <c r="C91" s="86"/>
      <c r="D91" s="86"/>
      <c r="E91" s="86"/>
    </row>
    <row r="92" spans="1:5" ht="20.25" x14ac:dyDescent="0.2">
      <c r="A92" s="76"/>
      <c r="B92" s="85"/>
      <c r="C92" s="86"/>
      <c r="D92" s="86"/>
      <c r="E92" s="86"/>
    </row>
    <row r="93" spans="1:5" ht="20.25" x14ac:dyDescent="0.2">
      <c r="A93" s="76"/>
      <c r="B93" s="85"/>
      <c r="C93" s="86"/>
      <c r="D93" s="86"/>
      <c r="E93" s="86"/>
    </row>
    <row r="94" spans="1:5" ht="20.25" x14ac:dyDescent="0.2">
      <c r="A94" s="76"/>
      <c r="B94" s="85"/>
      <c r="C94" s="86"/>
      <c r="D94" s="86"/>
      <c r="E94" s="86"/>
    </row>
    <row r="95" spans="1:5" ht="20.25" x14ac:dyDescent="0.2">
      <c r="A95" s="76"/>
      <c r="B95" s="85"/>
      <c r="C95" s="86"/>
      <c r="D95" s="86"/>
      <c r="E95" s="86"/>
    </row>
    <row r="96" spans="1:5" ht="20.25" x14ac:dyDescent="0.2">
      <c r="A96" s="76"/>
      <c r="B96" s="85"/>
      <c r="C96" s="86"/>
      <c r="D96" s="86"/>
      <c r="E96" s="86"/>
    </row>
    <row r="97" spans="1:5" ht="20.25" x14ac:dyDescent="0.2">
      <c r="A97" s="76"/>
      <c r="B97" s="85"/>
      <c r="C97" s="86"/>
      <c r="D97" s="86"/>
      <c r="E97" s="86"/>
    </row>
    <row r="98" spans="1:5" ht="20.25" x14ac:dyDescent="0.2">
      <c r="A98" s="76"/>
      <c r="B98" s="85"/>
      <c r="C98" s="86"/>
      <c r="D98" s="86"/>
      <c r="E98" s="86"/>
    </row>
    <row r="99" spans="1:5" ht="20.25" x14ac:dyDescent="0.2">
      <c r="A99" s="76"/>
      <c r="B99" s="85"/>
      <c r="C99" s="86"/>
      <c r="D99" s="86"/>
      <c r="E99" s="86"/>
    </row>
    <row r="100" spans="1:5" ht="20.25" x14ac:dyDescent="0.2">
      <c r="A100" s="76"/>
      <c r="B100" s="85"/>
      <c r="C100" s="86"/>
      <c r="D100" s="86"/>
      <c r="E100" s="86"/>
    </row>
    <row r="101" spans="1:5" ht="20.25" x14ac:dyDescent="0.2">
      <c r="A101" s="76"/>
      <c r="B101" s="85"/>
      <c r="C101" s="86"/>
      <c r="D101" s="86"/>
      <c r="E101" s="86"/>
    </row>
    <row r="102" spans="1:5" ht="20.25" x14ac:dyDescent="0.2">
      <c r="A102" s="76"/>
      <c r="B102" s="85"/>
      <c r="C102" s="86"/>
      <c r="D102" s="86"/>
      <c r="E102" s="86"/>
    </row>
    <row r="103" spans="1:5" ht="20.25" x14ac:dyDescent="0.2">
      <c r="A103" s="76"/>
      <c r="B103" s="85"/>
      <c r="C103" s="86"/>
      <c r="D103" s="86"/>
      <c r="E103" s="86"/>
    </row>
    <row r="104" spans="1:5" ht="20.25" x14ac:dyDescent="0.2">
      <c r="A104" s="76"/>
      <c r="B104" s="85"/>
      <c r="C104" s="86"/>
      <c r="D104" s="86"/>
      <c r="E104" s="86"/>
    </row>
    <row r="105" spans="1:5" ht="20.25" x14ac:dyDescent="0.2">
      <c r="A105" s="76"/>
      <c r="B105" s="85"/>
      <c r="C105" s="86"/>
      <c r="D105" s="86"/>
      <c r="E105" s="86"/>
    </row>
    <row r="106" spans="1:5" ht="20.25" x14ac:dyDescent="0.2">
      <c r="A106" s="76"/>
      <c r="B106" s="85"/>
      <c r="C106" s="86"/>
      <c r="D106" s="86"/>
      <c r="E106" s="86"/>
    </row>
    <row r="107" spans="1:5" ht="20.25" x14ac:dyDescent="0.2">
      <c r="A107" s="76"/>
      <c r="B107" s="85"/>
      <c r="C107" s="86"/>
      <c r="D107" s="86"/>
      <c r="E107" s="86"/>
    </row>
    <row r="108" spans="1:5" ht="20.25" x14ac:dyDescent="0.2">
      <c r="A108" s="76"/>
      <c r="B108" s="85"/>
      <c r="C108" s="86"/>
      <c r="D108" s="86"/>
      <c r="E108" s="86"/>
    </row>
    <row r="109" spans="1:5" ht="20.25" x14ac:dyDescent="0.2">
      <c r="A109" s="76"/>
      <c r="B109" s="85"/>
      <c r="C109" s="86"/>
      <c r="D109" s="86"/>
      <c r="E109" s="86"/>
    </row>
    <row r="110" spans="1:5" ht="20.25" x14ac:dyDescent="0.2">
      <c r="A110" s="76"/>
      <c r="B110" s="85"/>
      <c r="C110" s="86"/>
      <c r="D110" s="86"/>
      <c r="E110" s="86"/>
    </row>
    <row r="111" spans="1:5" ht="20.25" x14ac:dyDescent="0.2">
      <c r="A111" s="76"/>
      <c r="B111" s="85"/>
      <c r="C111" s="86"/>
      <c r="D111" s="86"/>
      <c r="E111" s="86"/>
    </row>
    <row r="112" spans="1:5" ht="20.25" x14ac:dyDescent="0.2">
      <c r="A112" s="76"/>
      <c r="B112" s="85"/>
      <c r="C112" s="86"/>
      <c r="D112" s="86"/>
      <c r="E112" s="86"/>
    </row>
    <row r="113" spans="1:5" ht="20.25" x14ac:dyDescent="0.2">
      <c r="A113" s="76"/>
      <c r="B113" s="85"/>
      <c r="C113" s="86"/>
      <c r="D113" s="86"/>
      <c r="E113" s="86"/>
    </row>
    <row r="114" spans="1:5" ht="20.25" x14ac:dyDescent="0.2">
      <c r="A114" s="76"/>
      <c r="B114" s="85"/>
      <c r="C114" s="86"/>
      <c r="D114" s="86"/>
      <c r="E114" s="86"/>
    </row>
    <row r="115" spans="1:5" ht="20.25" x14ac:dyDescent="0.2">
      <c r="A115" s="76"/>
      <c r="B115" s="85"/>
      <c r="C115" s="86"/>
      <c r="D115" s="86"/>
      <c r="E115" s="86"/>
    </row>
    <row r="116" spans="1:5" ht="20.25" x14ac:dyDescent="0.2">
      <c r="A116" s="76"/>
      <c r="B116" s="85"/>
      <c r="C116" s="86"/>
      <c r="D116" s="86"/>
      <c r="E116" s="86"/>
    </row>
    <row r="117" spans="1:5" ht="20.25" x14ac:dyDescent="0.2">
      <c r="A117" s="76"/>
      <c r="B117" s="85"/>
      <c r="C117" s="86"/>
      <c r="D117" s="86"/>
      <c r="E117" s="86"/>
    </row>
    <row r="118" spans="1:5" ht="20.25" x14ac:dyDescent="0.2">
      <c r="A118" s="76"/>
      <c r="B118" s="85"/>
      <c r="C118" s="86"/>
      <c r="D118" s="86"/>
      <c r="E118" s="86"/>
    </row>
    <row r="119" spans="1:5" ht="20.25" x14ac:dyDescent="0.2">
      <c r="A119" s="76"/>
      <c r="B119" s="85"/>
      <c r="C119" s="86"/>
      <c r="D119" s="86"/>
      <c r="E119" s="86"/>
    </row>
    <row r="120" spans="1:5" ht="20.25" x14ac:dyDescent="0.2">
      <c r="A120" s="76"/>
      <c r="B120" s="85"/>
      <c r="C120" s="86"/>
      <c r="D120" s="86"/>
      <c r="E120" s="86"/>
    </row>
    <row r="121" spans="1:5" ht="20.25" x14ac:dyDescent="0.2">
      <c r="A121" s="76"/>
      <c r="B121" s="85"/>
      <c r="C121" s="86"/>
      <c r="D121" s="86"/>
      <c r="E121" s="86"/>
    </row>
    <row r="122" spans="1:5" ht="20.25" x14ac:dyDescent="0.2">
      <c r="A122" s="76"/>
      <c r="B122" s="85"/>
      <c r="C122" s="86"/>
      <c r="D122" s="86"/>
      <c r="E122" s="86"/>
    </row>
    <row r="123" spans="1:5" ht="20.25" x14ac:dyDescent="0.2">
      <c r="A123" s="76"/>
      <c r="B123" s="85"/>
      <c r="C123" s="86"/>
      <c r="D123" s="86"/>
      <c r="E123" s="86"/>
    </row>
    <row r="124" spans="1:5" ht="20.25" x14ac:dyDescent="0.2">
      <c r="A124" s="76"/>
      <c r="B124" s="85"/>
      <c r="C124" s="86"/>
      <c r="D124" s="86"/>
      <c r="E124" s="86"/>
    </row>
    <row r="125" spans="1:5" ht="20.25" x14ac:dyDescent="0.2">
      <c r="A125" s="76"/>
      <c r="B125" s="85"/>
      <c r="C125" s="86"/>
      <c r="D125" s="86"/>
      <c r="E125" s="86"/>
    </row>
    <row r="126" spans="1:5" ht="20.25" x14ac:dyDescent="0.2">
      <c r="A126" s="76"/>
      <c r="B126" s="85"/>
      <c r="C126" s="86"/>
      <c r="D126" s="86"/>
      <c r="E126" s="86"/>
    </row>
    <row r="127" spans="1:5" ht="20.25" x14ac:dyDescent="0.2">
      <c r="A127" s="76"/>
      <c r="B127" s="85"/>
      <c r="C127" s="86"/>
      <c r="D127" s="86"/>
      <c r="E127" s="86"/>
    </row>
    <row r="128" spans="1:5" ht="20.25" x14ac:dyDescent="0.2">
      <c r="A128" s="76"/>
      <c r="B128" s="85"/>
      <c r="C128" s="86"/>
      <c r="D128" s="86"/>
      <c r="E128" s="86"/>
    </row>
    <row r="129" spans="1:5" ht="20.25" x14ac:dyDescent="0.2">
      <c r="A129" s="76"/>
      <c r="B129" s="85"/>
      <c r="C129" s="86"/>
      <c r="D129" s="86"/>
      <c r="E129" s="86"/>
    </row>
    <row r="130" spans="1:5" ht="20.25" x14ac:dyDescent="0.2">
      <c r="A130" s="76"/>
      <c r="B130" s="85"/>
      <c r="C130" s="86"/>
      <c r="D130" s="86"/>
      <c r="E130" s="86"/>
    </row>
    <row r="131" spans="1:5" ht="20.25" x14ac:dyDescent="0.2">
      <c r="A131" s="76"/>
      <c r="B131" s="85"/>
      <c r="C131" s="86"/>
      <c r="D131" s="86"/>
      <c r="E131" s="86"/>
    </row>
    <row r="132" spans="1:5" ht="20.25" x14ac:dyDescent="0.2">
      <c r="A132" s="76"/>
      <c r="B132" s="85"/>
      <c r="C132" s="86"/>
      <c r="D132" s="86"/>
      <c r="E132" s="86"/>
    </row>
    <row r="133" spans="1:5" ht="20.25" x14ac:dyDescent="0.2">
      <c r="A133" s="76"/>
      <c r="B133" s="85"/>
      <c r="C133" s="86"/>
      <c r="D133" s="86"/>
      <c r="E133" s="86"/>
    </row>
    <row r="134" spans="1:5" ht="20.25" x14ac:dyDescent="0.2">
      <c r="A134" s="76"/>
      <c r="B134" s="85"/>
      <c r="C134" s="86"/>
      <c r="D134" s="86"/>
      <c r="E134" s="86"/>
    </row>
    <row r="135" spans="1:5" ht="20.25" x14ac:dyDescent="0.2">
      <c r="A135" s="76"/>
      <c r="B135" s="85"/>
      <c r="C135" s="86"/>
      <c r="D135" s="86"/>
      <c r="E135" s="86"/>
    </row>
    <row r="136" spans="1:5" ht="20.25" x14ac:dyDescent="0.2">
      <c r="A136" s="76"/>
      <c r="B136" s="85"/>
      <c r="C136" s="86"/>
      <c r="D136" s="86"/>
      <c r="E136" s="86"/>
    </row>
    <row r="137" spans="1:5" ht="20.25" x14ac:dyDescent="0.2">
      <c r="A137" s="76"/>
      <c r="B137" s="85"/>
      <c r="C137" s="86"/>
      <c r="D137" s="86"/>
      <c r="E137" s="86"/>
    </row>
    <row r="138" spans="1:5" ht="20.25" x14ac:dyDescent="0.2">
      <c r="A138" s="76"/>
      <c r="B138" s="85"/>
      <c r="C138" s="86"/>
      <c r="D138" s="86"/>
      <c r="E138" s="86"/>
    </row>
    <row r="139" spans="1:5" ht="20.25" x14ac:dyDescent="0.2">
      <c r="A139" s="76"/>
      <c r="B139" s="85"/>
      <c r="C139" s="86"/>
      <c r="D139" s="86"/>
      <c r="E139" s="86"/>
    </row>
    <row r="140" spans="1:5" ht="20.25" x14ac:dyDescent="0.2">
      <c r="A140" s="76"/>
      <c r="B140" s="85"/>
      <c r="C140" s="86"/>
      <c r="D140" s="86"/>
      <c r="E140" s="86"/>
    </row>
    <row r="141" spans="1:5" ht="20.25" x14ac:dyDescent="0.2">
      <c r="A141" s="76"/>
      <c r="B141" s="85"/>
      <c r="C141" s="86"/>
      <c r="D141" s="86"/>
      <c r="E141" s="86"/>
    </row>
    <row r="142" spans="1:5" ht="20.25" x14ac:dyDescent="0.2">
      <c r="A142" s="76"/>
      <c r="B142" s="85"/>
      <c r="C142" s="86"/>
      <c r="D142" s="86"/>
      <c r="E142" s="86"/>
    </row>
    <row r="143" spans="1:5" ht="20.25" x14ac:dyDescent="0.2">
      <c r="A143" s="76"/>
      <c r="B143" s="85"/>
      <c r="C143" s="86"/>
      <c r="D143" s="86"/>
      <c r="E143" s="86"/>
    </row>
    <row r="144" spans="1:5" ht="20.25" x14ac:dyDescent="0.2">
      <c r="A144" s="76"/>
      <c r="B144" s="85"/>
      <c r="C144" s="86"/>
      <c r="D144" s="86"/>
      <c r="E144" s="86"/>
    </row>
    <row r="145" spans="1:5" ht="20.25" x14ac:dyDescent="0.2">
      <c r="A145" s="76"/>
      <c r="B145" s="85"/>
      <c r="C145" s="86"/>
      <c r="D145" s="86"/>
      <c r="E145" s="86"/>
    </row>
    <row r="146" spans="1:5" ht="20.25" x14ac:dyDescent="0.2">
      <c r="A146" s="76"/>
      <c r="B146" s="85"/>
      <c r="C146" s="86"/>
      <c r="D146" s="86"/>
      <c r="E146" s="86"/>
    </row>
    <row r="147" spans="1:5" ht="20.25" x14ac:dyDescent="0.2">
      <c r="A147" s="76"/>
      <c r="B147" s="85"/>
      <c r="C147" s="86"/>
      <c r="D147" s="86"/>
      <c r="E147" s="86"/>
    </row>
    <row r="148" spans="1:5" ht="20.25" x14ac:dyDescent="0.2">
      <c r="A148" s="76"/>
      <c r="B148" s="85"/>
      <c r="C148" s="86"/>
      <c r="D148" s="86"/>
      <c r="E148" s="86"/>
    </row>
    <row r="149" spans="1:5" ht="20.25" x14ac:dyDescent="0.2">
      <c r="A149" s="76"/>
      <c r="B149" s="85"/>
      <c r="C149" s="86"/>
      <c r="D149" s="86"/>
      <c r="E149" s="86"/>
    </row>
    <row r="150" spans="1:5" ht="20.25" x14ac:dyDescent="0.2">
      <c r="A150" s="76"/>
      <c r="B150" s="85"/>
      <c r="C150" s="86"/>
      <c r="D150" s="86"/>
      <c r="E150" s="86"/>
    </row>
    <row r="151" spans="1:5" ht="20.25" x14ac:dyDescent="0.2">
      <c r="A151" s="76"/>
      <c r="B151" s="85"/>
      <c r="C151" s="86"/>
      <c r="D151" s="86"/>
      <c r="E151" s="86"/>
    </row>
    <row r="152" spans="1:5" ht="20.25" x14ac:dyDescent="0.2">
      <c r="A152" s="76"/>
      <c r="B152" s="85"/>
      <c r="C152" s="86"/>
      <c r="D152" s="86"/>
      <c r="E152" s="86"/>
    </row>
    <row r="153" spans="1:5" ht="20.25" x14ac:dyDescent="0.2">
      <c r="A153" s="76"/>
      <c r="B153" s="85"/>
      <c r="C153" s="86"/>
      <c r="D153" s="86"/>
      <c r="E153" s="86"/>
    </row>
    <row r="154" spans="1:5" ht="20.25" x14ac:dyDescent="0.2">
      <c r="A154" s="76"/>
      <c r="B154" s="85"/>
      <c r="C154" s="86"/>
      <c r="D154" s="86"/>
      <c r="E154" s="86"/>
    </row>
    <row r="155" spans="1:5" ht="20.25" x14ac:dyDescent="0.2">
      <c r="A155" s="76"/>
      <c r="B155" s="85"/>
      <c r="C155" s="86"/>
      <c r="D155" s="86"/>
      <c r="E155" s="86"/>
    </row>
    <row r="156" spans="1:5" ht="20.25" x14ac:dyDescent="0.2">
      <c r="A156" s="76"/>
      <c r="B156" s="85"/>
      <c r="C156" s="86"/>
      <c r="D156" s="86"/>
      <c r="E156" s="86"/>
    </row>
    <row r="157" spans="1:5" ht="20.25" x14ac:dyDescent="0.2">
      <c r="A157" s="76"/>
      <c r="B157" s="85"/>
      <c r="C157" s="86"/>
      <c r="D157" s="86"/>
      <c r="E157" s="86"/>
    </row>
    <row r="158" spans="1:5" ht="20.25" x14ac:dyDescent="0.2">
      <c r="A158" s="76"/>
      <c r="B158" s="85"/>
      <c r="C158" s="86"/>
      <c r="D158" s="86"/>
      <c r="E158" s="86"/>
    </row>
    <row r="159" spans="1:5" ht="20.25" x14ac:dyDescent="0.2">
      <c r="A159" s="76"/>
      <c r="B159" s="85"/>
      <c r="C159" s="86"/>
      <c r="D159" s="86"/>
      <c r="E159" s="86"/>
    </row>
    <row r="160" spans="1:5" ht="20.25" x14ac:dyDescent="0.2">
      <c r="A160" s="76"/>
      <c r="B160" s="85"/>
      <c r="C160" s="86"/>
      <c r="D160" s="86"/>
      <c r="E160" s="86"/>
    </row>
    <row r="161" spans="1:5" ht="20.25" x14ac:dyDescent="0.2">
      <c r="A161" s="76"/>
      <c r="B161" s="85"/>
      <c r="C161" s="86"/>
      <c r="D161" s="86"/>
      <c r="E161" s="86"/>
    </row>
    <row r="162" spans="1:5" ht="20.25" x14ac:dyDescent="0.2">
      <c r="A162" s="76"/>
      <c r="B162" s="85"/>
      <c r="C162" s="86"/>
      <c r="D162" s="86"/>
      <c r="E162" s="86"/>
    </row>
    <row r="163" spans="1:5" ht="20.25" x14ac:dyDescent="0.2">
      <c r="A163" s="76"/>
      <c r="B163" s="85"/>
      <c r="C163" s="86"/>
      <c r="D163" s="86"/>
      <c r="E163" s="86"/>
    </row>
    <row r="164" spans="1:5" ht="20.25" x14ac:dyDescent="0.2">
      <c r="A164" s="76"/>
      <c r="B164" s="85"/>
      <c r="C164" s="86"/>
      <c r="D164" s="86"/>
      <c r="E164" s="86"/>
    </row>
    <row r="165" spans="1:5" ht="20.25" x14ac:dyDescent="0.2">
      <c r="A165" s="76"/>
      <c r="B165" s="85"/>
      <c r="C165" s="86"/>
      <c r="D165" s="86"/>
      <c r="E165" s="86"/>
    </row>
    <row r="166" spans="1:5" ht="20.25" x14ac:dyDescent="0.2">
      <c r="A166" s="76"/>
      <c r="B166" s="85"/>
      <c r="C166" s="86"/>
      <c r="D166" s="86"/>
      <c r="E166" s="86"/>
    </row>
    <row r="167" spans="1:5" ht="20.25" x14ac:dyDescent="0.2">
      <c r="A167" s="76"/>
      <c r="B167" s="85"/>
      <c r="C167" s="86"/>
      <c r="D167" s="86"/>
      <c r="E167" s="86"/>
    </row>
    <row r="168" spans="1:5" ht="20.25" x14ac:dyDescent="0.2">
      <c r="A168" s="76"/>
      <c r="B168" s="85"/>
      <c r="C168" s="86"/>
      <c r="D168" s="86"/>
      <c r="E168" s="86"/>
    </row>
    <row r="169" spans="1:5" ht="20.25" x14ac:dyDescent="0.2">
      <c r="A169" s="76"/>
      <c r="B169" s="85"/>
      <c r="C169" s="86"/>
      <c r="D169" s="86"/>
      <c r="E169" s="86"/>
    </row>
    <row r="170" spans="1:5" ht="20.25" x14ac:dyDescent="0.2">
      <c r="A170" s="76"/>
      <c r="B170" s="85"/>
      <c r="C170" s="86"/>
      <c r="D170" s="86"/>
      <c r="E170" s="86"/>
    </row>
    <row r="171" spans="1:5" ht="20.25" x14ac:dyDescent="0.2">
      <c r="A171" s="76"/>
      <c r="B171" s="85"/>
      <c r="C171" s="86"/>
      <c r="D171" s="86"/>
      <c r="E171" s="86"/>
    </row>
    <row r="172" spans="1:5" ht="20.25" x14ac:dyDescent="0.2">
      <c r="A172" s="76"/>
      <c r="B172" s="85"/>
      <c r="C172" s="86"/>
      <c r="D172" s="86"/>
      <c r="E172" s="86"/>
    </row>
    <row r="173" spans="1:5" ht="20.25" x14ac:dyDescent="0.2">
      <c r="A173" s="76"/>
      <c r="B173" s="85"/>
      <c r="C173" s="86"/>
      <c r="D173" s="86"/>
      <c r="E173" s="86"/>
    </row>
    <row r="174" spans="1:5" ht="20.25" x14ac:dyDescent="0.2">
      <c r="A174" s="76"/>
      <c r="B174" s="85"/>
      <c r="C174" s="86"/>
      <c r="D174" s="86"/>
      <c r="E174" s="86"/>
    </row>
    <row r="175" spans="1:5" ht="20.25" x14ac:dyDescent="0.2">
      <c r="A175" s="76"/>
      <c r="B175" s="85"/>
      <c r="C175" s="86"/>
      <c r="D175" s="86"/>
      <c r="E175" s="86"/>
    </row>
    <row r="176" spans="1:5" ht="20.25" x14ac:dyDescent="0.2">
      <c r="A176" s="76"/>
      <c r="B176" s="85"/>
      <c r="C176" s="86"/>
      <c r="D176" s="86"/>
      <c r="E176" s="86"/>
    </row>
    <row r="177" spans="1:5" ht="20.25" x14ac:dyDescent="0.2">
      <c r="A177" s="76"/>
      <c r="B177" s="85"/>
      <c r="C177" s="86"/>
      <c r="D177" s="86"/>
      <c r="E177" s="86"/>
    </row>
    <row r="178" spans="1:5" ht="20.25" x14ac:dyDescent="0.2">
      <c r="A178" s="76"/>
      <c r="B178" s="85"/>
      <c r="C178" s="86"/>
      <c r="D178" s="86"/>
      <c r="E178" s="86"/>
    </row>
    <row r="179" spans="1:5" ht="20.25" x14ac:dyDescent="0.2">
      <c r="A179" s="76"/>
      <c r="B179" s="85"/>
      <c r="C179" s="86"/>
      <c r="D179" s="86"/>
      <c r="E179" s="86"/>
    </row>
    <row r="180" spans="1:5" ht="20.25" x14ac:dyDescent="0.2">
      <c r="A180" s="76"/>
      <c r="B180" s="85"/>
      <c r="C180" s="86"/>
      <c r="D180" s="86"/>
      <c r="E180" s="86"/>
    </row>
    <row r="181" spans="1:5" ht="20.25" x14ac:dyDescent="0.2">
      <c r="A181" s="76"/>
      <c r="B181" s="85"/>
      <c r="C181" s="86"/>
      <c r="D181" s="86"/>
      <c r="E181" s="86"/>
    </row>
    <row r="182" spans="1:5" ht="20.25" x14ac:dyDescent="0.2">
      <c r="A182" s="76"/>
      <c r="B182" s="85"/>
      <c r="C182" s="86"/>
      <c r="D182" s="86"/>
      <c r="E182" s="86"/>
    </row>
    <row r="183" spans="1:5" ht="20.25" x14ac:dyDescent="0.2">
      <c r="A183" s="76"/>
      <c r="B183" s="85"/>
      <c r="C183" s="86"/>
      <c r="D183" s="86"/>
      <c r="E183" s="86"/>
    </row>
    <row r="184" spans="1:5" ht="20.25" x14ac:dyDescent="0.2">
      <c r="A184" s="76"/>
      <c r="B184" s="85"/>
      <c r="C184" s="86"/>
      <c r="D184" s="86"/>
      <c r="E184" s="86"/>
    </row>
    <row r="185" spans="1:5" ht="20.25" x14ac:dyDescent="0.2">
      <c r="A185" s="76"/>
      <c r="B185" s="85"/>
      <c r="C185" s="86"/>
      <c r="D185" s="86"/>
      <c r="E185" s="86"/>
    </row>
    <row r="186" spans="1:5" ht="20.25" x14ac:dyDescent="0.2">
      <c r="A186" s="76"/>
      <c r="B186" s="85"/>
      <c r="C186" s="86"/>
      <c r="D186" s="86"/>
      <c r="E186" s="86"/>
    </row>
    <row r="187" spans="1:5" ht="20.25" x14ac:dyDescent="0.2">
      <c r="A187" s="76"/>
      <c r="B187" s="85"/>
      <c r="C187" s="86"/>
      <c r="D187" s="86"/>
      <c r="E187" s="86"/>
    </row>
    <row r="188" spans="1:5" ht="20.25" x14ac:dyDescent="0.2">
      <c r="A188" s="76"/>
      <c r="B188" s="85"/>
      <c r="C188" s="86"/>
      <c r="D188" s="86"/>
      <c r="E188" s="86"/>
    </row>
    <row r="189" spans="1:5" ht="20.25" x14ac:dyDescent="0.2">
      <c r="A189" s="76"/>
      <c r="B189" s="85"/>
      <c r="C189" s="86"/>
      <c r="D189" s="86"/>
      <c r="E189" s="86"/>
    </row>
    <row r="190" spans="1:5" ht="20.25" x14ac:dyDescent="0.2">
      <c r="A190" s="76"/>
      <c r="B190" s="85"/>
      <c r="C190" s="86"/>
      <c r="D190" s="86"/>
      <c r="E190" s="86"/>
    </row>
    <row r="191" spans="1:5" ht="20.25" x14ac:dyDescent="0.2">
      <c r="A191" s="76"/>
      <c r="B191" s="85"/>
      <c r="C191" s="86"/>
      <c r="D191" s="86"/>
      <c r="E191" s="86"/>
    </row>
    <row r="192" spans="1:5" ht="20.25" x14ac:dyDescent="0.2">
      <c r="A192" s="76"/>
      <c r="B192" s="85"/>
      <c r="C192" s="86"/>
      <c r="D192" s="86"/>
      <c r="E192" s="86"/>
    </row>
    <row r="193" spans="1:5" ht="20.25" x14ac:dyDescent="0.2">
      <c r="A193" s="76"/>
      <c r="B193" s="85"/>
      <c r="C193" s="86"/>
      <c r="D193" s="86"/>
      <c r="E193" s="86"/>
    </row>
    <row r="194" spans="1:5" ht="20.25" x14ac:dyDescent="0.2">
      <c r="A194" s="76"/>
      <c r="B194" s="85"/>
      <c r="C194" s="86"/>
      <c r="D194" s="86"/>
      <c r="E194" s="86"/>
    </row>
    <row r="195" spans="1:5" ht="20.25" x14ac:dyDescent="0.2">
      <c r="A195" s="76"/>
      <c r="B195" s="85"/>
      <c r="C195" s="86"/>
      <c r="D195" s="86"/>
      <c r="E195" s="86"/>
    </row>
    <row r="196" spans="1:5" ht="20.25" x14ac:dyDescent="0.2">
      <c r="A196" s="76"/>
      <c r="B196" s="85"/>
      <c r="C196" s="86"/>
      <c r="D196" s="86"/>
      <c r="E196" s="86"/>
    </row>
    <row r="197" spans="1:5" ht="20.25" x14ac:dyDescent="0.2">
      <c r="A197" s="76"/>
      <c r="B197" s="85"/>
      <c r="C197" s="86"/>
      <c r="D197" s="86"/>
      <c r="E197" s="86"/>
    </row>
    <row r="198" spans="1:5" ht="20.25" x14ac:dyDescent="0.2">
      <c r="A198" s="76"/>
      <c r="B198" s="85"/>
      <c r="C198" s="86"/>
      <c r="D198" s="86"/>
      <c r="E198" s="86"/>
    </row>
    <row r="199" spans="1:5" ht="20.25" x14ac:dyDescent="0.2">
      <c r="A199" s="76"/>
      <c r="B199" s="85"/>
      <c r="C199" s="86"/>
      <c r="D199" s="86"/>
      <c r="E199" s="86"/>
    </row>
    <row r="200" spans="1:5" ht="20.25" x14ac:dyDescent="0.2">
      <c r="A200" s="76"/>
      <c r="B200" s="85"/>
      <c r="C200" s="86"/>
      <c r="D200" s="86"/>
      <c r="E200" s="86"/>
    </row>
    <row r="201" spans="1:5" ht="20.25" x14ac:dyDescent="0.2">
      <c r="A201" s="76"/>
      <c r="B201" s="85"/>
      <c r="C201" s="86"/>
      <c r="D201" s="86"/>
      <c r="E201" s="86"/>
    </row>
    <row r="202" spans="1:5" ht="20.25" x14ac:dyDescent="0.2">
      <c r="A202" s="76"/>
      <c r="B202" s="85"/>
      <c r="C202" s="86"/>
      <c r="D202" s="86"/>
      <c r="E202" s="86"/>
    </row>
    <row r="203" spans="1:5" ht="20.25" x14ac:dyDescent="0.2">
      <c r="A203" s="76"/>
      <c r="B203" s="85"/>
      <c r="C203" s="86"/>
      <c r="D203" s="86"/>
      <c r="E203" s="86"/>
    </row>
    <row r="204" spans="1:5" ht="20.25" x14ac:dyDescent="0.2">
      <c r="A204" s="76"/>
      <c r="B204" s="85"/>
      <c r="C204" s="86"/>
      <c r="D204" s="86"/>
      <c r="E204" s="86"/>
    </row>
    <row r="205" spans="1:5" ht="20.25" x14ac:dyDescent="0.2">
      <c r="A205" s="76"/>
      <c r="B205" s="85"/>
      <c r="C205" s="86"/>
      <c r="D205" s="86"/>
      <c r="E205" s="86"/>
    </row>
    <row r="206" spans="1:5" ht="20.25" x14ac:dyDescent="0.2">
      <c r="A206" s="76"/>
      <c r="B206" s="85"/>
      <c r="C206" s="86"/>
      <c r="D206" s="86"/>
      <c r="E206" s="86"/>
    </row>
    <row r="207" spans="1:5" ht="20.25" x14ac:dyDescent="0.2">
      <c r="A207" s="76"/>
      <c r="B207" s="85"/>
      <c r="C207" s="86"/>
      <c r="D207" s="86"/>
      <c r="E207" s="86"/>
    </row>
    <row r="208" spans="1:5" ht="20.25" x14ac:dyDescent="0.2">
      <c r="A208" s="76"/>
      <c r="B208" s="85"/>
      <c r="C208" s="86"/>
      <c r="D208" s="86"/>
      <c r="E208" s="86"/>
    </row>
    <row r="209" spans="1:9" ht="20.25" x14ac:dyDescent="0.2">
      <c r="A209" s="76"/>
      <c r="B209" s="85"/>
      <c r="C209" s="86"/>
      <c r="D209" s="86"/>
      <c r="E209" s="86"/>
    </row>
    <row r="210" spans="1:9" ht="20.25" x14ac:dyDescent="0.2">
      <c r="A210" s="76"/>
      <c r="B210" s="85"/>
      <c r="C210" s="86"/>
      <c r="D210" s="86"/>
      <c r="E210" s="86"/>
    </row>
    <row r="211" spans="1:9" ht="20.25" x14ac:dyDescent="0.2">
      <c r="A211" s="76"/>
      <c r="B211" s="85"/>
      <c r="C211" s="86"/>
      <c r="D211" s="86"/>
      <c r="E211" s="86"/>
    </row>
    <row r="212" spans="1:9" x14ac:dyDescent="0.2">
      <c r="A212" s="74"/>
      <c r="B212" s="85"/>
      <c r="C212" s="85"/>
      <c r="D212" s="85"/>
      <c r="E212" s="85"/>
    </row>
    <row r="213" spans="1:9" ht="20.25" x14ac:dyDescent="0.2">
      <c r="A213" s="74"/>
      <c r="B213" s="87" t="s">
        <v>165</v>
      </c>
      <c r="C213" s="87" t="s">
        <v>166</v>
      </c>
      <c r="D213" s="87"/>
      <c r="E213" s="88" t="s">
        <v>165</v>
      </c>
      <c r="F213" s="88" t="s">
        <v>166</v>
      </c>
    </row>
    <row r="214" spans="1:9" ht="20.25" x14ac:dyDescent="0.3">
      <c r="A214" s="74"/>
      <c r="B214" s="89" t="s">
        <v>167</v>
      </c>
      <c r="C214" s="89" t="s">
        <v>168</v>
      </c>
      <c r="D214" s="89"/>
      <c r="E214" s="73" t="s">
        <v>167</v>
      </c>
      <c r="G214" s="73" t="str">
        <f>IF(NOT(ISBLANK(E214)),E214,IF(NOT(ISBLANK(F214)),"     "&amp;F214,FALSE))</f>
        <v>Afectación Económica o presupuestal</v>
      </c>
      <c r="H214" s="73" t="s">
        <v>167</v>
      </c>
      <c r="I214" s="73" t="str">
        <f>IF(NOT(ISERROR(MATCH(H214,_xlfn.ANCHORARRAY(B225),0))),G227&amp;"Por favor no seleccionar los criterios de impacto",H214)</f>
        <v>❌Por favor no seleccionar los criterios de impacto</v>
      </c>
    </row>
    <row r="215" spans="1:9" ht="20.25" x14ac:dyDescent="0.3">
      <c r="A215" s="74"/>
      <c r="B215" s="89" t="s">
        <v>167</v>
      </c>
      <c r="C215" s="89" t="s">
        <v>145</v>
      </c>
      <c r="D215" s="89"/>
      <c r="F215" s="73" t="s">
        <v>168</v>
      </c>
      <c r="G215" s="73" t="str">
        <f t="shared" ref="G215:G225" si="0">IF(NOT(ISBLANK(E215)),E215,IF(NOT(ISBLANK(F215)),"     "&amp;F215,FALSE))</f>
        <v xml:space="preserve">     Afectación menor a 10 SMLMV .</v>
      </c>
    </row>
    <row r="216" spans="1:9" ht="20.25" x14ac:dyDescent="0.3">
      <c r="A216" s="74"/>
      <c r="B216" s="89" t="s">
        <v>167</v>
      </c>
      <c r="C216" s="89" t="s">
        <v>147</v>
      </c>
      <c r="D216" s="89"/>
      <c r="F216" s="73" t="s">
        <v>145</v>
      </c>
      <c r="G216" s="73" t="str">
        <f t="shared" si="0"/>
        <v xml:space="preserve">     Entre 10 y 50 SMLMV </v>
      </c>
    </row>
    <row r="217" spans="1:9" ht="20.25" x14ac:dyDescent="0.3">
      <c r="A217" s="74"/>
      <c r="B217" s="89" t="s">
        <v>167</v>
      </c>
      <c r="C217" s="89" t="s">
        <v>150</v>
      </c>
      <c r="D217" s="89"/>
      <c r="F217" s="73" t="s">
        <v>147</v>
      </c>
      <c r="G217" s="73" t="str">
        <f t="shared" si="0"/>
        <v xml:space="preserve">     Entre 50 y 100 SMLMV </v>
      </c>
    </row>
    <row r="218" spans="1:9" ht="20.25" x14ac:dyDescent="0.3">
      <c r="A218" s="74"/>
      <c r="B218" s="89" t="s">
        <v>167</v>
      </c>
      <c r="C218" s="89" t="s">
        <v>153</v>
      </c>
      <c r="D218" s="89"/>
      <c r="F218" s="73" t="s">
        <v>150</v>
      </c>
      <c r="G218" s="73" t="str">
        <f t="shared" si="0"/>
        <v xml:space="preserve">     Entre 100 y 500 SMLMV </v>
      </c>
    </row>
    <row r="219" spans="1:9" ht="20.25" x14ac:dyDescent="0.3">
      <c r="A219" s="74"/>
      <c r="B219" s="89" t="s">
        <v>169</v>
      </c>
      <c r="C219" s="89" t="s">
        <v>170</v>
      </c>
      <c r="D219" s="89"/>
      <c r="F219" s="73" t="s">
        <v>153</v>
      </c>
      <c r="G219" s="73" t="str">
        <f t="shared" si="0"/>
        <v xml:space="preserve">     Mayor a 500 SMLMV </v>
      </c>
    </row>
    <row r="220" spans="1:9" ht="20.25" x14ac:dyDescent="0.3">
      <c r="A220" s="74"/>
      <c r="B220" s="89" t="s">
        <v>169</v>
      </c>
      <c r="C220" s="89" t="s">
        <v>171</v>
      </c>
      <c r="D220" s="89"/>
      <c r="E220" s="73" t="s">
        <v>169</v>
      </c>
      <c r="G220" s="73" t="str">
        <f t="shared" si="0"/>
        <v>Pérdida Reputacional</v>
      </c>
    </row>
    <row r="221" spans="1:9" ht="20.25" x14ac:dyDescent="0.3">
      <c r="A221" s="74"/>
      <c r="B221" s="89" t="s">
        <v>169</v>
      </c>
      <c r="C221" s="89" t="s">
        <v>172</v>
      </c>
      <c r="D221" s="89"/>
      <c r="F221" s="73" t="s">
        <v>170</v>
      </c>
      <c r="G221" s="73" t="str">
        <f t="shared" si="0"/>
        <v xml:space="preserve">     El riesgo afecta la imagen de alguna área de la organización</v>
      </c>
    </row>
    <row r="222" spans="1:9" ht="20.25" x14ac:dyDescent="0.3">
      <c r="A222" s="74"/>
      <c r="B222" s="89" t="s">
        <v>169</v>
      </c>
      <c r="C222" s="89" t="s">
        <v>173</v>
      </c>
      <c r="D222" s="89"/>
      <c r="F222" s="73" t="s">
        <v>171</v>
      </c>
      <c r="G222" s="73" t="str">
        <f t="shared" si="0"/>
        <v xml:space="preserve">     El riesgo afecta la imagen de la entidad internamente, de conocimiento general, nivel interno, de junta dircetiva y accionistas y/o de provedores</v>
      </c>
    </row>
    <row r="223" spans="1:9" ht="20.25" x14ac:dyDescent="0.3">
      <c r="A223" s="74"/>
      <c r="B223" s="89" t="s">
        <v>169</v>
      </c>
      <c r="C223" s="89" t="s">
        <v>174</v>
      </c>
      <c r="D223" s="89"/>
      <c r="F223" s="73" t="s">
        <v>172</v>
      </c>
      <c r="G223" s="73" t="str">
        <f t="shared" si="0"/>
        <v xml:space="preserve">     El riesgo afecta la imagen de la entidad con algunos usuarios de relevancia frente al logro de los objetivos</v>
      </c>
    </row>
    <row r="224" spans="1:9" x14ac:dyDescent="0.2">
      <c r="A224" s="74"/>
      <c r="B224" s="90"/>
      <c r="C224" s="90"/>
      <c r="D224" s="90"/>
      <c r="F224" s="73" t="s">
        <v>173</v>
      </c>
      <c r="G224" s="73" t="str">
        <f t="shared" si="0"/>
        <v xml:space="preserve">     El riesgo afecta la imagen de de la entidad con efecto publicitario sostenido a nivel de sector administrativo, nivel departamental o municipal</v>
      </c>
    </row>
    <row r="225" spans="1:7" x14ac:dyDescent="0.2">
      <c r="A225" s="74"/>
      <c r="B225" s="90" t="str" cm="1">
        <f t="array" ref="B225:B227">_xlfn.UNIQUE(Tabla1[[#All],[Criterios]])</f>
        <v>Criterios</v>
      </c>
      <c r="C225" s="90"/>
      <c r="D225" s="90"/>
      <c r="F225" s="73" t="s">
        <v>174</v>
      </c>
      <c r="G225" s="73" t="str">
        <f t="shared" si="0"/>
        <v xml:space="preserve">     El riesgo afecta la imagen de la entidad a nivel nacional, con efecto publicitarios sostenible a nivel país</v>
      </c>
    </row>
    <row r="226" spans="1:7" x14ac:dyDescent="0.2">
      <c r="A226" s="74"/>
      <c r="B226" s="90" t="str">
        <v>Afectación Económica o presupuestal</v>
      </c>
      <c r="C226" s="90"/>
      <c r="D226" s="90"/>
    </row>
    <row r="227" spans="1:7" x14ac:dyDescent="0.2">
      <c r="B227" s="90" t="str">
        <v>Pérdida Reputacional</v>
      </c>
      <c r="C227" s="90"/>
      <c r="D227" s="90"/>
      <c r="G227" s="3" t="s">
        <v>175</v>
      </c>
    </row>
    <row r="228" spans="1:7" x14ac:dyDescent="0.2">
      <c r="B228" s="91"/>
      <c r="C228" s="91"/>
      <c r="D228" s="91"/>
      <c r="G228" s="3" t="s">
        <v>176</v>
      </c>
    </row>
    <row r="229" spans="1:7" x14ac:dyDescent="0.2">
      <c r="B229" s="91"/>
      <c r="C229" s="91"/>
      <c r="D229" s="91"/>
    </row>
    <row r="230" spans="1:7" x14ac:dyDescent="0.2">
      <c r="B230" s="91"/>
      <c r="C230" s="91"/>
      <c r="D230" s="91"/>
    </row>
    <row r="231" spans="1:7" x14ac:dyDescent="0.2">
      <c r="B231" s="91"/>
      <c r="C231" s="91"/>
      <c r="D231" s="91"/>
      <c r="E231" s="91"/>
    </row>
    <row r="232" spans="1:7" x14ac:dyDescent="0.2">
      <c r="B232" s="91"/>
      <c r="C232" s="91"/>
      <c r="D232" s="91"/>
      <c r="E232" s="91"/>
    </row>
    <row r="233" spans="1:7" x14ac:dyDescent="0.2">
      <c r="B233" s="91"/>
      <c r="C233" s="91"/>
      <c r="D233" s="91"/>
      <c r="E233" s="91"/>
    </row>
    <row r="234" spans="1:7" x14ac:dyDescent="0.2">
      <c r="B234" s="91"/>
      <c r="C234" s="91"/>
      <c r="D234" s="91"/>
      <c r="E234" s="91"/>
    </row>
    <row r="235" spans="1:7" x14ac:dyDescent="0.2">
      <c r="B235" s="91"/>
      <c r="C235" s="91"/>
      <c r="D235" s="91"/>
      <c r="E235" s="91"/>
    </row>
    <row r="236" spans="1:7" x14ac:dyDescent="0.2">
      <c r="B236" s="91"/>
      <c r="C236" s="91"/>
      <c r="D236" s="91"/>
      <c r="E236" s="91"/>
    </row>
  </sheetData>
  <mergeCells count="4">
    <mergeCell ref="C7:E7"/>
    <mergeCell ref="B5:E5"/>
    <mergeCell ref="B1:B4"/>
    <mergeCell ref="C1:D4"/>
  </mergeCells>
  <dataValidations disablePrompts="1" count="1">
    <dataValidation type="list" allowBlank="1" showInputMessage="1" showErrorMessage="1" sqref="H214" xr:uid="{00000000-0002-0000-0500-000000000000}">
      <formula1>$G$214:$G$225</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20"/>
  <sheetViews>
    <sheetView zoomScale="85" zoomScaleNormal="85" workbookViewId="0">
      <selection activeCell="H7" sqref="H7"/>
    </sheetView>
  </sheetViews>
  <sheetFormatPr baseColWidth="10" defaultColWidth="14.28515625" defaultRowHeight="12.75" x14ac:dyDescent="0.2"/>
  <cols>
    <col min="1" max="2" width="14.28515625" style="43"/>
    <col min="3" max="3" width="17" style="43" customWidth="1"/>
    <col min="4" max="4" width="14.28515625" style="43"/>
    <col min="5" max="5" width="46" style="43" customWidth="1"/>
    <col min="6" max="6" width="39" style="43" customWidth="1"/>
    <col min="7" max="16384" width="14.28515625" style="43"/>
  </cols>
  <sheetData>
    <row r="1" spans="2:6" ht="15" x14ac:dyDescent="0.2">
      <c r="B1" s="493"/>
      <c r="C1" s="196" t="s">
        <v>0</v>
      </c>
      <c r="D1" s="196"/>
      <c r="E1" s="196"/>
      <c r="F1" s="63"/>
    </row>
    <row r="2" spans="2:6" ht="15" x14ac:dyDescent="0.2">
      <c r="B2" s="493"/>
      <c r="C2" s="196"/>
      <c r="D2" s="196"/>
      <c r="E2" s="196"/>
      <c r="F2" s="63"/>
    </row>
    <row r="3" spans="2:6" ht="15" x14ac:dyDescent="0.2">
      <c r="B3" s="493"/>
      <c r="C3" s="196"/>
      <c r="D3" s="196"/>
      <c r="E3" s="196"/>
      <c r="F3" s="63"/>
    </row>
    <row r="4" spans="2:6" ht="15" x14ac:dyDescent="0.2">
      <c r="B4" s="493"/>
      <c r="C4" s="196"/>
      <c r="D4" s="196"/>
      <c r="E4" s="196"/>
      <c r="F4" s="63"/>
    </row>
    <row r="5" spans="2:6" ht="24" customHeight="1" thickBot="1" x14ac:dyDescent="0.25">
      <c r="B5" s="494" t="s">
        <v>177</v>
      </c>
      <c r="C5" s="495"/>
      <c r="D5" s="495"/>
      <c r="E5" s="495"/>
      <c r="F5" s="496"/>
    </row>
    <row r="6" spans="2:6" ht="16.5" thickBot="1" x14ac:dyDescent="0.3">
      <c r="B6" s="44"/>
      <c r="C6" s="44"/>
      <c r="D6" s="44"/>
      <c r="E6" s="44"/>
      <c r="F6" s="44"/>
    </row>
    <row r="7" spans="2:6" ht="16.5" thickBot="1" x14ac:dyDescent="0.25">
      <c r="B7" s="498" t="s">
        <v>178</v>
      </c>
      <c r="C7" s="499"/>
      <c r="D7" s="499"/>
      <c r="E7" s="56" t="s">
        <v>179</v>
      </c>
      <c r="F7" s="57" t="s">
        <v>180</v>
      </c>
    </row>
    <row r="8" spans="2:6" ht="31.5" x14ac:dyDescent="0.2">
      <c r="B8" s="500" t="s">
        <v>181</v>
      </c>
      <c r="C8" s="503" t="s">
        <v>87</v>
      </c>
      <c r="D8" s="45" t="s">
        <v>100</v>
      </c>
      <c r="E8" s="46" t="s">
        <v>182</v>
      </c>
      <c r="F8" s="47">
        <v>0.25</v>
      </c>
    </row>
    <row r="9" spans="2:6" ht="47.25" x14ac:dyDescent="0.2">
      <c r="B9" s="501"/>
      <c r="C9" s="504"/>
      <c r="D9" s="48" t="s">
        <v>183</v>
      </c>
      <c r="E9" s="49" t="s">
        <v>184</v>
      </c>
      <c r="F9" s="50">
        <v>0.15</v>
      </c>
    </row>
    <row r="10" spans="2:6" ht="47.25" x14ac:dyDescent="0.2">
      <c r="B10" s="501"/>
      <c r="C10" s="505"/>
      <c r="D10" s="48" t="s">
        <v>185</v>
      </c>
      <c r="E10" s="49" t="s">
        <v>186</v>
      </c>
      <c r="F10" s="50">
        <v>0.1</v>
      </c>
    </row>
    <row r="11" spans="2:6" ht="63" x14ac:dyDescent="0.2">
      <c r="B11" s="501"/>
      <c r="C11" s="506" t="s">
        <v>88</v>
      </c>
      <c r="D11" s="48" t="s">
        <v>187</v>
      </c>
      <c r="E11" s="49" t="s">
        <v>188</v>
      </c>
      <c r="F11" s="50">
        <v>0.25</v>
      </c>
    </row>
    <row r="12" spans="2:6" ht="31.5" x14ac:dyDescent="0.2">
      <c r="B12" s="502"/>
      <c r="C12" s="506"/>
      <c r="D12" s="48" t="s">
        <v>101</v>
      </c>
      <c r="E12" s="49" t="s">
        <v>189</v>
      </c>
      <c r="F12" s="50">
        <v>0.15</v>
      </c>
    </row>
    <row r="13" spans="2:6" ht="47.25" x14ac:dyDescent="0.2">
      <c r="B13" s="507" t="s">
        <v>190</v>
      </c>
      <c r="C13" s="506" t="s">
        <v>90</v>
      </c>
      <c r="D13" s="48" t="s">
        <v>102</v>
      </c>
      <c r="E13" s="49" t="s">
        <v>191</v>
      </c>
      <c r="F13" s="51" t="s">
        <v>192</v>
      </c>
    </row>
    <row r="14" spans="2:6" ht="63" x14ac:dyDescent="0.2">
      <c r="B14" s="507"/>
      <c r="C14" s="506"/>
      <c r="D14" s="48" t="s">
        <v>193</v>
      </c>
      <c r="E14" s="49" t="s">
        <v>194</v>
      </c>
      <c r="F14" s="51" t="s">
        <v>192</v>
      </c>
    </row>
    <row r="15" spans="2:6" ht="47.25" x14ac:dyDescent="0.2">
      <c r="B15" s="507"/>
      <c r="C15" s="506" t="s">
        <v>91</v>
      </c>
      <c r="D15" s="48" t="s">
        <v>103</v>
      </c>
      <c r="E15" s="49" t="s">
        <v>195</v>
      </c>
      <c r="F15" s="51" t="s">
        <v>192</v>
      </c>
    </row>
    <row r="16" spans="2:6" ht="47.25" x14ac:dyDescent="0.2">
      <c r="B16" s="507"/>
      <c r="C16" s="506"/>
      <c r="D16" s="48" t="s">
        <v>196</v>
      </c>
      <c r="E16" s="49" t="s">
        <v>197</v>
      </c>
      <c r="F16" s="51" t="s">
        <v>192</v>
      </c>
    </row>
    <row r="17" spans="2:6" ht="31.5" x14ac:dyDescent="0.2">
      <c r="B17" s="507"/>
      <c r="C17" s="506" t="s">
        <v>92</v>
      </c>
      <c r="D17" s="48" t="s">
        <v>104</v>
      </c>
      <c r="E17" s="49" t="s">
        <v>198</v>
      </c>
      <c r="F17" s="51" t="s">
        <v>192</v>
      </c>
    </row>
    <row r="18" spans="2:6" ht="32.25" thickBot="1" x14ac:dyDescent="0.25">
      <c r="B18" s="508"/>
      <c r="C18" s="509"/>
      <c r="D18" s="52" t="s">
        <v>199</v>
      </c>
      <c r="E18" s="53" t="s">
        <v>200</v>
      </c>
      <c r="F18" s="54" t="s">
        <v>192</v>
      </c>
    </row>
    <row r="19" spans="2:6" ht="49.5" customHeight="1" x14ac:dyDescent="0.2">
      <c r="B19" s="497" t="s">
        <v>201</v>
      </c>
      <c r="C19" s="497"/>
      <c r="D19" s="497"/>
      <c r="E19" s="497"/>
      <c r="F19" s="497"/>
    </row>
    <row r="20" spans="2:6" ht="27" customHeight="1" x14ac:dyDescent="0.25">
      <c r="B20" s="55"/>
    </row>
  </sheetData>
  <mergeCells count="12">
    <mergeCell ref="B1:B4"/>
    <mergeCell ref="C1:E4"/>
    <mergeCell ref="B5:F5"/>
    <mergeCell ref="B19:F19"/>
    <mergeCell ref="B7:D7"/>
    <mergeCell ref="B8:B12"/>
    <mergeCell ref="C8:C10"/>
    <mergeCell ref="C11:C12"/>
    <mergeCell ref="B13:B18"/>
    <mergeCell ref="C13:C14"/>
    <mergeCell ref="C15:C16"/>
    <mergeCell ref="C17:C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709B-2BAB-4367-9A50-99901959F2D0}">
  <sheetPr>
    <tabColor theme="9" tint="-0.249977111117893"/>
  </sheetPr>
  <dimension ref="A1:C80"/>
  <sheetViews>
    <sheetView topLeftCell="A19" zoomScale="110" zoomScaleNormal="110" workbookViewId="0">
      <selection activeCell="A6" sqref="A6:C6"/>
    </sheetView>
  </sheetViews>
  <sheetFormatPr baseColWidth="10" defaultColWidth="11.42578125" defaultRowHeight="15" x14ac:dyDescent="0.25"/>
  <cols>
    <col min="1" max="1" width="13.28515625" customWidth="1"/>
    <col min="2" max="2" width="69.7109375" customWidth="1"/>
    <col min="3" max="3" width="54.85546875" customWidth="1"/>
  </cols>
  <sheetData>
    <row r="1" spans="1:3" x14ac:dyDescent="0.25">
      <c r="A1" s="511"/>
      <c r="B1" s="517" t="s">
        <v>0</v>
      </c>
      <c r="C1" s="63"/>
    </row>
    <row r="2" spans="1:3" x14ac:dyDescent="0.25">
      <c r="A2" s="511"/>
      <c r="B2" s="517"/>
      <c r="C2" s="63"/>
    </row>
    <row r="3" spans="1:3" x14ac:dyDescent="0.25">
      <c r="A3" s="511"/>
      <c r="B3" s="517"/>
      <c r="C3" s="63"/>
    </row>
    <row r="4" spans="1:3" x14ac:dyDescent="0.25">
      <c r="A4" s="511"/>
      <c r="B4" s="517"/>
      <c r="C4" s="63" t="s">
        <v>202</v>
      </c>
    </row>
    <row r="5" spans="1:3" ht="40.5" customHeight="1" x14ac:dyDescent="0.25">
      <c r="A5" s="511"/>
      <c r="B5" s="511"/>
      <c r="C5" s="511"/>
    </row>
    <row r="6" spans="1:3" ht="56.25" customHeight="1" x14ac:dyDescent="0.25">
      <c r="A6" s="512" t="s">
        <v>203</v>
      </c>
      <c r="B6" s="512"/>
      <c r="C6" s="512"/>
    </row>
    <row r="7" spans="1:3" ht="51" customHeight="1" x14ac:dyDescent="0.25">
      <c r="A7" s="513" t="s">
        <v>204</v>
      </c>
      <c r="B7" s="513"/>
      <c r="C7" s="513"/>
    </row>
    <row r="8" spans="1:3" ht="53.25" customHeight="1" x14ac:dyDescent="0.25">
      <c r="A8" s="512" t="s">
        <v>205</v>
      </c>
      <c r="B8" s="512"/>
      <c r="C8" s="512"/>
    </row>
    <row r="9" spans="1:3" ht="310.5" customHeight="1" x14ac:dyDescent="0.25">
      <c r="A9" s="514" t="s">
        <v>206</v>
      </c>
      <c r="B9" s="514"/>
      <c r="C9" s="514"/>
    </row>
    <row r="10" spans="1:3" ht="21" customHeight="1" x14ac:dyDescent="0.25">
      <c r="A10" s="515" t="s">
        <v>207</v>
      </c>
      <c r="B10" s="62" t="s">
        <v>208</v>
      </c>
      <c r="C10" s="62" t="s">
        <v>19</v>
      </c>
    </row>
    <row r="11" spans="1:3" ht="21" customHeight="1" thickBot="1" x14ac:dyDescent="0.3">
      <c r="A11" s="516"/>
      <c r="B11" s="58" t="s">
        <v>209</v>
      </c>
      <c r="C11" s="59" t="s">
        <v>210</v>
      </c>
    </row>
    <row r="12" spans="1:3" ht="30" customHeight="1" thickBot="1" x14ac:dyDescent="0.3">
      <c r="A12" s="60">
        <v>1</v>
      </c>
      <c r="B12" s="61" t="s">
        <v>211</v>
      </c>
      <c r="C12" s="61" t="s">
        <v>212</v>
      </c>
    </row>
    <row r="13" spans="1:3" ht="30" customHeight="1" thickBot="1" x14ac:dyDescent="0.3">
      <c r="A13" s="60">
        <v>2</v>
      </c>
      <c r="B13" s="61" t="s">
        <v>213</v>
      </c>
      <c r="C13" s="61" t="s">
        <v>214</v>
      </c>
    </row>
    <row r="14" spans="1:3" ht="30" customHeight="1" thickBot="1" x14ac:dyDescent="0.3">
      <c r="A14" s="60">
        <v>3</v>
      </c>
      <c r="B14" s="61" t="s">
        <v>215</v>
      </c>
      <c r="C14" s="61" t="s">
        <v>216</v>
      </c>
    </row>
    <row r="15" spans="1:3" ht="30" customHeight="1" thickBot="1" x14ac:dyDescent="0.3">
      <c r="A15" s="60">
        <v>4</v>
      </c>
      <c r="B15" s="61" t="s">
        <v>217</v>
      </c>
      <c r="C15" s="61" t="s">
        <v>218</v>
      </c>
    </row>
    <row r="16" spans="1:3" ht="30" customHeight="1" thickBot="1" x14ac:dyDescent="0.3">
      <c r="A16" s="60">
        <v>5</v>
      </c>
      <c r="B16" s="61" t="s">
        <v>219</v>
      </c>
      <c r="C16" s="61" t="s">
        <v>220</v>
      </c>
    </row>
    <row r="17" spans="1:3" ht="30" customHeight="1" thickBot="1" x14ac:dyDescent="0.3">
      <c r="A17" s="60">
        <v>6</v>
      </c>
      <c r="B17" s="61" t="s">
        <v>221</v>
      </c>
      <c r="C17" s="61" t="s">
        <v>222</v>
      </c>
    </row>
    <row r="18" spans="1:3" ht="30" customHeight="1" thickBot="1" x14ac:dyDescent="0.3">
      <c r="A18" s="60">
        <v>7</v>
      </c>
      <c r="B18" s="61" t="s">
        <v>223</v>
      </c>
      <c r="C18" s="61" t="s">
        <v>224</v>
      </c>
    </row>
    <row r="19" spans="1:3" ht="30" customHeight="1" thickBot="1" x14ac:dyDescent="0.3">
      <c r="A19" s="60">
        <v>8</v>
      </c>
      <c r="B19" s="61" t="s">
        <v>221</v>
      </c>
      <c r="C19" s="61" t="s">
        <v>225</v>
      </c>
    </row>
    <row r="20" spans="1:3" ht="53.25" customHeight="1" thickBot="1" x14ac:dyDescent="0.3">
      <c r="A20" s="60">
        <v>9</v>
      </c>
      <c r="B20" s="61" t="s">
        <v>226</v>
      </c>
      <c r="C20" s="61" t="s">
        <v>227</v>
      </c>
    </row>
    <row r="21" spans="1:3" ht="30" customHeight="1" thickBot="1" x14ac:dyDescent="0.3">
      <c r="A21" s="60">
        <v>10</v>
      </c>
      <c r="B21" s="61" t="s">
        <v>228</v>
      </c>
      <c r="C21" s="61" t="s">
        <v>229</v>
      </c>
    </row>
    <row r="22" spans="1:3" ht="30" customHeight="1" thickBot="1" x14ac:dyDescent="0.3">
      <c r="A22" s="60">
        <v>11</v>
      </c>
      <c r="B22" s="61" t="s">
        <v>230</v>
      </c>
      <c r="C22" s="61" t="s">
        <v>231</v>
      </c>
    </row>
    <row r="23" spans="1:3" ht="30" customHeight="1" thickBot="1" x14ac:dyDescent="0.3">
      <c r="A23" s="60">
        <v>12</v>
      </c>
      <c r="B23" s="61" t="s">
        <v>232</v>
      </c>
      <c r="C23" s="61" t="s">
        <v>233</v>
      </c>
    </row>
    <row r="24" spans="1:3" ht="30" customHeight="1" thickBot="1" x14ac:dyDescent="0.3">
      <c r="A24" s="60">
        <v>13</v>
      </c>
      <c r="B24" s="61" t="s">
        <v>234</v>
      </c>
      <c r="C24" s="61" t="s">
        <v>235</v>
      </c>
    </row>
    <row r="25" spans="1:3" ht="30" customHeight="1" thickBot="1" x14ac:dyDescent="0.3">
      <c r="A25" s="60">
        <v>14</v>
      </c>
      <c r="B25" s="61" t="s">
        <v>236</v>
      </c>
      <c r="C25" s="61" t="s">
        <v>237</v>
      </c>
    </row>
    <row r="26" spans="1:3" ht="30" customHeight="1" thickBot="1" x14ac:dyDescent="0.3">
      <c r="A26" s="60">
        <v>15</v>
      </c>
      <c r="B26" s="61" t="s">
        <v>238</v>
      </c>
      <c r="C26" s="61" t="s">
        <v>239</v>
      </c>
    </row>
    <row r="27" spans="1:3" ht="30" customHeight="1" thickBot="1" x14ac:dyDescent="0.3">
      <c r="A27" s="60">
        <v>16</v>
      </c>
      <c r="B27" s="61" t="s">
        <v>240</v>
      </c>
      <c r="C27" s="61" t="s">
        <v>241</v>
      </c>
    </row>
    <row r="28" spans="1:3" ht="30" customHeight="1" thickBot="1" x14ac:dyDescent="0.3">
      <c r="A28" s="60">
        <v>17</v>
      </c>
      <c r="B28" s="61" t="s">
        <v>242</v>
      </c>
      <c r="C28" s="61" t="s">
        <v>243</v>
      </c>
    </row>
    <row r="29" spans="1:3" ht="30" customHeight="1" thickBot="1" x14ac:dyDescent="0.3">
      <c r="A29" s="60">
        <v>18</v>
      </c>
      <c r="B29" s="61" t="s">
        <v>242</v>
      </c>
      <c r="C29" s="61" t="s">
        <v>244</v>
      </c>
    </row>
    <row r="30" spans="1:3" ht="30" customHeight="1" thickBot="1" x14ac:dyDescent="0.3">
      <c r="A30" s="60">
        <v>19</v>
      </c>
      <c r="B30" s="61" t="s">
        <v>242</v>
      </c>
      <c r="C30" s="61" t="s">
        <v>245</v>
      </c>
    </row>
    <row r="31" spans="1:3" ht="30" customHeight="1" thickBot="1" x14ac:dyDescent="0.3">
      <c r="A31" s="60">
        <v>20</v>
      </c>
      <c r="B31" s="61" t="s">
        <v>242</v>
      </c>
      <c r="C31" s="61" t="s">
        <v>246</v>
      </c>
    </row>
    <row r="32" spans="1:3" ht="30" customHeight="1" thickBot="1" x14ac:dyDescent="0.3">
      <c r="A32" s="60">
        <v>21</v>
      </c>
      <c r="B32" s="61" t="s">
        <v>247</v>
      </c>
      <c r="C32" s="61" t="s">
        <v>248</v>
      </c>
    </row>
    <row r="33" spans="1:3" ht="30" customHeight="1" thickBot="1" x14ac:dyDescent="0.3">
      <c r="A33" s="60">
        <v>22</v>
      </c>
      <c r="B33" s="61" t="s">
        <v>249</v>
      </c>
      <c r="C33" s="61" t="s">
        <v>250</v>
      </c>
    </row>
    <row r="34" spans="1:3" ht="30" customHeight="1" thickBot="1" x14ac:dyDescent="0.3">
      <c r="A34" s="60">
        <v>23</v>
      </c>
      <c r="B34" s="61" t="s">
        <v>251</v>
      </c>
      <c r="C34" s="61" t="s">
        <v>252</v>
      </c>
    </row>
    <row r="35" spans="1:3" ht="39.75" customHeight="1" thickBot="1" x14ac:dyDescent="0.3">
      <c r="A35" s="60">
        <v>24</v>
      </c>
      <c r="B35" s="61" t="s">
        <v>253</v>
      </c>
      <c r="C35" s="61" t="s">
        <v>254</v>
      </c>
    </row>
    <row r="36" spans="1:3" ht="30" customHeight="1" thickBot="1" x14ac:dyDescent="0.3">
      <c r="A36" s="60">
        <v>25</v>
      </c>
      <c r="B36" s="61" t="s">
        <v>255</v>
      </c>
      <c r="C36" s="61" t="s">
        <v>256</v>
      </c>
    </row>
    <row r="37" spans="1:3" ht="30" customHeight="1" thickBot="1" x14ac:dyDescent="0.3">
      <c r="A37" s="60">
        <v>26</v>
      </c>
      <c r="B37" s="61" t="s">
        <v>257</v>
      </c>
      <c r="C37" s="61" t="s">
        <v>258</v>
      </c>
    </row>
    <row r="38" spans="1:3" ht="30" customHeight="1" thickBot="1" x14ac:dyDescent="0.3">
      <c r="A38" s="60">
        <v>27</v>
      </c>
      <c r="B38" s="61" t="s">
        <v>259</v>
      </c>
      <c r="C38" s="61" t="s">
        <v>260</v>
      </c>
    </row>
    <row r="39" spans="1:3" ht="30" customHeight="1" thickBot="1" x14ac:dyDescent="0.3">
      <c r="A39" s="60">
        <v>28</v>
      </c>
      <c r="B39" s="61" t="s">
        <v>261</v>
      </c>
      <c r="C39" s="61" t="s">
        <v>262</v>
      </c>
    </row>
    <row r="40" spans="1:3" ht="30" customHeight="1" thickBot="1" x14ac:dyDescent="0.3">
      <c r="A40" s="60">
        <v>29</v>
      </c>
      <c r="B40" s="61" t="s">
        <v>263</v>
      </c>
      <c r="C40" s="61" t="s">
        <v>264</v>
      </c>
    </row>
    <row r="41" spans="1:3" ht="30" customHeight="1" thickBot="1" x14ac:dyDescent="0.3">
      <c r="A41" s="60">
        <v>30</v>
      </c>
      <c r="B41" s="61" t="s">
        <v>265</v>
      </c>
      <c r="C41" s="61" t="s">
        <v>266</v>
      </c>
    </row>
    <row r="42" spans="1:3" ht="30" customHeight="1" thickBot="1" x14ac:dyDescent="0.3">
      <c r="A42" s="60">
        <v>31</v>
      </c>
      <c r="B42" s="61" t="s">
        <v>267</v>
      </c>
      <c r="C42" s="61" t="s">
        <v>268</v>
      </c>
    </row>
    <row r="43" spans="1:3" ht="30" customHeight="1" thickBot="1" x14ac:dyDescent="0.3">
      <c r="A43" s="60">
        <v>32</v>
      </c>
      <c r="B43" s="61" t="s">
        <v>269</v>
      </c>
      <c r="C43" s="61" t="s">
        <v>270</v>
      </c>
    </row>
    <row r="44" spans="1:3" ht="30" customHeight="1" thickBot="1" x14ac:dyDescent="0.3">
      <c r="A44" s="60">
        <v>33</v>
      </c>
      <c r="B44" s="61" t="s">
        <v>271</v>
      </c>
      <c r="C44" s="61" t="s">
        <v>94</v>
      </c>
    </row>
    <row r="45" spans="1:3" ht="30" customHeight="1" thickBot="1" x14ac:dyDescent="0.3">
      <c r="A45" s="60">
        <v>34</v>
      </c>
      <c r="B45" s="61" t="s">
        <v>272</v>
      </c>
      <c r="C45" s="61" t="s">
        <v>273</v>
      </c>
    </row>
    <row r="46" spans="1:3" ht="30" customHeight="1" thickBot="1" x14ac:dyDescent="0.3">
      <c r="A46" s="60">
        <v>35</v>
      </c>
      <c r="B46" s="61" t="s">
        <v>274</v>
      </c>
      <c r="C46" s="61" t="s">
        <v>275</v>
      </c>
    </row>
    <row r="47" spans="1:3" ht="30" customHeight="1" thickBot="1" x14ac:dyDescent="0.3">
      <c r="A47" s="60">
        <v>36</v>
      </c>
      <c r="B47" s="61" t="s">
        <v>249</v>
      </c>
      <c r="C47" s="61" t="s">
        <v>276</v>
      </c>
    </row>
    <row r="48" spans="1:3" ht="30" customHeight="1" thickBot="1" x14ac:dyDescent="0.3">
      <c r="A48" s="60">
        <v>37</v>
      </c>
      <c r="B48" s="61" t="s">
        <v>277</v>
      </c>
      <c r="C48" s="61" t="s">
        <v>278</v>
      </c>
    </row>
    <row r="49" spans="1:3" ht="30" customHeight="1" thickBot="1" x14ac:dyDescent="0.3">
      <c r="A49" s="60">
        <v>38</v>
      </c>
      <c r="B49" s="61" t="s">
        <v>279</v>
      </c>
      <c r="C49" s="61" t="s">
        <v>280</v>
      </c>
    </row>
    <row r="50" spans="1:3" ht="30" customHeight="1" thickBot="1" x14ac:dyDescent="0.3">
      <c r="A50" s="60">
        <v>39</v>
      </c>
      <c r="B50" s="61" t="s">
        <v>281</v>
      </c>
      <c r="C50" s="61" t="s">
        <v>282</v>
      </c>
    </row>
    <row r="51" spans="1:3" ht="30" customHeight="1" thickBot="1" x14ac:dyDescent="0.3">
      <c r="A51" s="60">
        <v>40</v>
      </c>
      <c r="B51" s="61" t="s">
        <v>283</v>
      </c>
      <c r="C51" s="61" t="s">
        <v>284</v>
      </c>
    </row>
    <row r="52" spans="1:3" ht="30" customHeight="1" thickBot="1" x14ac:dyDescent="0.3">
      <c r="A52" s="60">
        <v>41</v>
      </c>
      <c r="B52" s="61" t="s">
        <v>281</v>
      </c>
      <c r="C52" s="61" t="s">
        <v>285</v>
      </c>
    </row>
    <row r="53" spans="1:3" ht="30" customHeight="1" thickBot="1" x14ac:dyDescent="0.3">
      <c r="A53" s="60">
        <v>42</v>
      </c>
      <c r="B53" s="61" t="s">
        <v>286</v>
      </c>
      <c r="C53" s="61" t="s">
        <v>287</v>
      </c>
    </row>
    <row r="54" spans="1:3" ht="30" customHeight="1" thickBot="1" x14ac:dyDescent="0.3">
      <c r="A54" s="60">
        <v>43</v>
      </c>
      <c r="B54" s="61" t="s">
        <v>288</v>
      </c>
      <c r="C54" s="61" t="s">
        <v>289</v>
      </c>
    </row>
    <row r="55" spans="1:3" ht="30" customHeight="1" thickBot="1" x14ac:dyDescent="0.3">
      <c r="A55" s="60">
        <v>43</v>
      </c>
      <c r="B55" s="61" t="s">
        <v>290</v>
      </c>
      <c r="C55" s="61" t="s">
        <v>291</v>
      </c>
    </row>
    <row r="56" spans="1:3" ht="30" customHeight="1" thickBot="1" x14ac:dyDescent="0.3">
      <c r="A56" s="60">
        <v>44</v>
      </c>
      <c r="B56" s="61" t="s">
        <v>292</v>
      </c>
      <c r="C56" s="61" t="s">
        <v>293</v>
      </c>
    </row>
    <row r="57" spans="1:3" ht="30" customHeight="1" thickBot="1" x14ac:dyDescent="0.3">
      <c r="A57" s="60">
        <v>45</v>
      </c>
      <c r="B57" s="61" t="s">
        <v>294</v>
      </c>
      <c r="C57" s="61" t="s">
        <v>295</v>
      </c>
    </row>
    <row r="58" spans="1:3" ht="40.5" customHeight="1" thickBot="1" x14ac:dyDescent="0.3">
      <c r="A58" s="60">
        <v>46</v>
      </c>
      <c r="B58" s="61" t="s">
        <v>296</v>
      </c>
      <c r="C58" s="61" t="s">
        <v>297</v>
      </c>
    </row>
    <row r="59" spans="1:3" ht="30" customHeight="1" thickBot="1" x14ac:dyDescent="0.3">
      <c r="A59" s="60">
        <v>47</v>
      </c>
      <c r="B59" s="61" t="s">
        <v>298</v>
      </c>
      <c r="C59" s="61" t="s">
        <v>299</v>
      </c>
    </row>
    <row r="60" spans="1:3" ht="30" customHeight="1" thickBot="1" x14ac:dyDescent="0.3">
      <c r="A60" s="60">
        <v>48</v>
      </c>
      <c r="B60" s="61" t="s">
        <v>298</v>
      </c>
      <c r="C60" s="61" t="s">
        <v>300</v>
      </c>
    </row>
    <row r="61" spans="1:3" ht="30" customHeight="1" thickBot="1" x14ac:dyDescent="0.3">
      <c r="A61" s="60">
        <v>49</v>
      </c>
      <c r="B61" s="61" t="s">
        <v>298</v>
      </c>
      <c r="C61" s="61" t="s">
        <v>301</v>
      </c>
    </row>
    <row r="62" spans="1:3" ht="30" customHeight="1" thickBot="1" x14ac:dyDescent="0.3">
      <c r="A62" s="60">
        <v>50</v>
      </c>
      <c r="B62" s="61" t="s">
        <v>302</v>
      </c>
      <c r="C62" s="61" t="s">
        <v>303</v>
      </c>
    </row>
    <row r="63" spans="1:3" ht="21.75" customHeight="1" x14ac:dyDescent="0.3">
      <c r="A63" s="518" t="s">
        <v>304</v>
      </c>
      <c r="B63" s="518"/>
      <c r="C63" s="518"/>
    </row>
    <row r="65" spans="1:3" x14ac:dyDescent="0.25">
      <c r="A65" s="519" t="s">
        <v>305</v>
      </c>
      <c r="B65" s="520"/>
      <c r="C65" s="520"/>
    </row>
    <row r="66" spans="1:3" x14ac:dyDescent="0.25">
      <c r="A66" s="520"/>
      <c r="B66" s="520"/>
      <c r="C66" s="520"/>
    </row>
    <row r="67" spans="1:3" x14ac:dyDescent="0.25">
      <c r="A67" s="520"/>
      <c r="B67" s="520"/>
      <c r="C67" s="520"/>
    </row>
    <row r="68" spans="1:3" x14ac:dyDescent="0.25">
      <c r="A68" s="520"/>
      <c r="B68" s="520"/>
      <c r="C68" s="520"/>
    </row>
    <row r="69" spans="1:3" x14ac:dyDescent="0.25">
      <c r="A69" s="520"/>
      <c r="B69" s="520"/>
      <c r="C69" s="520"/>
    </row>
    <row r="70" spans="1:3" x14ac:dyDescent="0.25">
      <c r="A70" s="520"/>
      <c r="B70" s="520"/>
      <c r="C70" s="520"/>
    </row>
    <row r="71" spans="1:3" x14ac:dyDescent="0.25">
      <c r="A71" s="520"/>
      <c r="B71" s="520"/>
      <c r="C71" s="520"/>
    </row>
    <row r="72" spans="1:3" x14ac:dyDescent="0.25">
      <c r="A72" s="520"/>
      <c r="B72" s="520"/>
      <c r="C72" s="520"/>
    </row>
    <row r="73" spans="1:3" x14ac:dyDescent="0.25">
      <c r="A73" s="520"/>
      <c r="B73" s="520"/>
      <c r="C73" s="520"/>
    </row>
    <row r="75" spans="1:3" x14ac:dyDescent="0.25">
      <c r="A75" s="521" t="s">
        <v>306</v>
      </c>
      <c r="B75" s="522"/>
      <c r="C75" s="522"/>
    </row>
    <row r="76" spans="1:3" x14ac:dyDescent="0.25">
      <c r="A76" s="522"/>
      <c r="B76" s="522"/>
      <c r="C76" s="522"/>
    </row>
    <row r="77" spans="1:3" x14ac:dyDescent="0.25">
      <c r="A77" s="522"/>
      <c r="B77" s="522"/>
      <c r="C77" s="522"/>
    </row>
    <row r="79" spans="1:3" x14ac:dyDescent="0.25">
      <c r="A79" s="510"/>
      <c r="B79" s="510"/>
      <c r="C79" s="510"/>
    </row>
    <row r="80" spans="1:3" x14ac:dyDescent="0.25">
      <c r="A80" s="510"/>
      <c r="B80" s="510"/>
      <c r="C80" s="510"/>
    </row>
  </sheetData>
  <mergeCells count="12">
    <mergeCell ref="A1:A4"/>
    <mergeCell ref="B1:B4"/>
    <mergeCell ref="A63:C63"/>
    <mergeCell ref="A65:C73"/>
    <mergeCell ref="A75:C77"/>
    <mergeCell ref="A79:C80"/>
    <mergeCell ref="A5:C5"/>
    <mergeCell ref="A6:C6"/>
    <mergeCell ref="A7:C7"/>
    <mergeCell ref="A8:C8"/>
    <mergeCell ref="A9:C9"/>
    <mergeCell ref="A10:A11"/>
  </mergeCell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5" sqref="E5"/>
    </sheetView>
  </sheetViews>
  <sheetFormatPr baseColWidth="10" defaultColWidth="11.42578125" defaultRowHeight="15" x14ac:dyDescent="0.25"/>
  <sheetData>
    <row r="2" spans="2:5" x14ac:dyDescent="0.25">
      <c r="B2" t="s">
        <v>307</v>
      </c>
      <c r="E2" t="s">
        <v>93</v>
      </c>
    </row>
    <row r="3" spans="2:5" x14ac:dyDescent="0.25">
      <c r="B3" t="s">
        <v>308</v>
      </c>
    </row>
    <row r="4" spans="2:5" x14ac:dyDescent="0.25">
      <c r="B4" t="s">
        <v>309</v>
      </c>
    </row>
    <row r="5" spans="2:5" x14ac:dyDescent="0.25">
      <c r="B5" t="s">
        <v>105</v>
      </c>
    </row>
    <row r="8" spans="2:5" x14ac:dyDescent="0.25">
      <c r="B8" t="s">
        <v>310</v>
      </c>
    </row>
    <row r="9" spans="2:5" x14ac:dyDescent="0.25">
      <c r="B9" t="s">
        <v>311</v>
      </c>
    </row>
    <row r="10" spans="2:5" x14ac:dyDescent="0.25">
      <c r="B10" t="s">
        <v>312</v>
      </c>
    </row>
    <row r="13" spans="2:5" x14ac:dyDescent="0.25">
      <c r="B13" t="s">
        <v>313</v>
      </c>
    </row>
    <row r="14" spans="2:5" x14ac:dyDescent="0.25">
      <c r="B14" t="s">
        <v>97</v>
      </c>
    </row>
    <row r="15" spans="2:5" x14ac:dyDescent="0.25">
      <c r="B15" t="s">
        <v>314</v>
      </c>
    </row>
    <row r="16" spans="2:5" x14ac:dyDescent="0.25">
      <c r="B16" t="s">
        <v>315</v>
      </c>
    </row>
    <row r="17" spans="2:2" x14ac:dyDescent="0.25">
      <c r="B17" t="s">
        <v>316</v>
      </c>
    </row>
    <row r="18" spans="2:2" x14ac:dyDescent="0.25">
      <c r="B18" t="s">
        <v>317</v>
      </c>
    </row>
    <row r="19" spans="2:2" x14ac:dyDescent="0.25">
      <c r="B19" t="s">
        <v>318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100</v>
      </c>
    </row>
    <row r="4" spans="1:1" x14ac:dyDescent="0.2">
      <c r="A4" s="2" t="s">
        <v>183</v>
      </c>
    </row>
    <row r="5" spans="1:1" x14ac:dyDescent="0.2">
      <c r="A5" s="2" t="s">
        <v>185</v>
      </c>
    </row>
    <row r="6" spans="1:1" x14ac:dyDescent="0.2">
      <c r="A6" s="2" t="s">
        <v>187</v>
      </c>
    </row>
    <row r="7" spans="1:1" x14ac:dyDescent="0.2">
      <c r="A7" s="2" t="s">
        <v>101</v>
      </c>
    </row>
    <row r="8" spans="1:1" x14ac:dyDescent="0.2">
      <c r="A8" s="2" t="s">
        <v>102</v>
      </c>
    </row>
    <row r="9" spans="1:1" x14ac:dyDescent="0.2">
      <c r="A9" s="2" t="s">
        <v>193</v>
      </c>
    </row>
    <row r="10" spans="1:1" x14ac:dyDescent="0.2">
      <c r="A10" s="2" t="s">
        <v>103</v>
      </c>
    </row>
    <row r="11" spans="1:1" x14ac:dyDescent="0.2">
      <c r="A11" s="2" t="s">
        <v>196</v>
      </c>
    </row>
    <row r="12" spans="1:1" x14ac:dyDescent="0.2">
      <c r="A12" s="2" t="s">
        <v>319</v>
      </c>
    </row>
    <row r="13" spans="1:1" x14ac:dyDescent="0.2">
      <c r="A13" s="2" t="s">
        <v>320</v>
      </c>
    </row>
    <row r="14" spans="1:1" x14ac:dyDescent="0.2">
      <c r="A14" s="2" t="s">
        <v>321</v>
      </c>
    </row>
    <row r="16" spans="1:1" x14ac:dyDescent="0.2">
      <c r="A16" s="2" t="s">
        <v>322</v>
      </c>
    </row>
    <row r="17" spans="1:1" x14ac:dyDescent="0.2">
      <c r="A17" s="2" t="s">
        <v>307</v>
      </c>
    </row>
    <row r="18" spans="1:1" x14ac:dyDescent="0.2">
      <c r="A18" s="2" t="s">
        <v>308</v>
      </c>
    </row>
    <row r="20" spans="1:1" x14ac:dyDescent="0.2">
      <c r="A20" s="2" t="s">
        <v>311</v>
      </c>
    </row>
    <row r="21" spans="1:1" x14ac:dyDescent="0.2">
      <c r="A21" s="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 </vt:lpstr>
      <vt:lpstr>Mapa de Riesgos</vt:lpstr>
      <vt:lpstr>Matriz Calor Inherente</vt:lpstr>
      <vt:lpstr>Matriz Calor Residual</vt:lpstr>
      <vt:lpstr>Tabla probabilidad</vt:lpstr>
      <vt:lpstr>Tabla Impacto</vt:lpstr>
      <vt:lpstr>Tabla Valoración controles</vt:lpstr>
      <vt:lpstr>Anexo 1</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aux01</cp:lastModifiedBy>
  <cp:revision/>
  <cp:lastPrinted>2024-01-31T16:20:19Z</cp:lastPrinted>
  <dcterms:created xsi:type="dcterms:W3CDTF">2020-03-24T23:12:47Z</dcterms:created>
  <dcterms:modified xsi:type="dcterms:W3CDTF">2024-02-02T17:01:43Z</dcterms:modified>
  <cp:category/>
  <cp:contentStatus/>
</cp:coreProperties>
</file>